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Skolas" sheetId="1" r:id="rId1"/>
    <sheet name="Pirmsskolas" sheetId="2" r:id="rId2"/>
    <sheet name="Interešu+sporta" sheetId="3" r:id="rId3"/>
    <sheet name="MMS" sheetId="4" r:id="rId4"/>
    <sheet name="Kult iest" sheetId="5" r:id="rId5"/>
    <sheet name="RCB" sheetId="6" r:id="rId6"/>
    <sheet name="RIIMC" sheetId="7" r:id="rId7"/>
  </sheets>
  <externalReferences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<sst xmlns="http://schemas.openxmlformats.org/spreadsheetml/2006/main" count="2914" uniqueCount="352">
  <si>
    <t>Amatu grupa</t>
  </si>
  <si>
    <t>Vidējā mēnešalga</t>
  </si>
  <si>
    <t>amata nosaukums</t>
  </si>
  <si>
    <t>13. Fiziskais un kvalificētais darbs</t>
  </si>
  <si>
    <t>III</t>
  </si>
  <si>
    <t>I</t>
  </si>
  <si>
    <t>IIB</t>
  </si>
  <si>
    <t>18.1. Informācijas apkopošana un analīze: Arhīvu pakalpojumi</t>
  </si>
  <si>
    <t>39. Sociālais darbs</t>
  </si>
  <si>
    <t>41.Transportlīdzekļa vadīšana</t>
  </si>
  <si>
    <t>II</t>
  </si>
  <si>
    <t>5.2. Ārstniecība: Aprūpe</t>
  </si>
  <si>
    <t>Administrators</t>
  </si>
  <si>
    <t>Apkopējs</t>
  </si>
  <si>
    <t>Arhivārs</t>
  </si>
  <si>
    <t>Auklis</t>
  </si>
  <si>
    <t>Autobusa vadītājs</t>
  </si>
  <si>
    <t>Automobiļa vadītājs</t>
  </si>
  <si>
    <t>Ārsta palīgs</t>
  </si>
  <si>
    <t>380 - 548</t>
  </si>
  <si>
    <t>380 - 395</t>
  </si>
  <si>
    <t>380 - 454</t>
  </si>
  <si>
    <t>535 - 803</t>
  </si>
  <si>
    <t>439 - 661</t>
  </si>
  <si>
    <t>5.1. Ārstniecība: Ārstniecības pakalpojumi</t>
  </si>
  <si>
    <t>Ārsts</t>
  </si>
  <si>
    <t>6.Darba aizsardzība</t>
  </si>
  <si>
    <t>19.5.Informācijas tehnoloģijas. Sistēmu administrēšana un uzturēšana</t>
  </si>
  <si>
    <t>3.Apsaimniekošana</t>
  </si>
  <si>
    <t>33. Radošie darbi</t>
  </si>
  <si>
    <t>IIA</t>
  </si>
  <si>
    <t>4. Apsardze un uzraudzība</t>
  </si>
  <si>
    <t>IB</t>
  </si>
  <si>
    <t>Baseina tehnoloģisko iekārtu uzraudzības un pakalpošanas speciālists</t>
  </si>
  <si>
    <t>Darba aizsardzības speciālists</t>
  </si>
  <si>
    <t>Datortīkla administrators</t>
  </si>
  <si>
    <t>Dārznieks</t>
  </si>
  <si>
    <t>Dienesta viesnīcas vadītājs</t>
  </si>
  <si>
    <t>Direktora vietnieks administratīvi saimnieciskajā darbā</t>
  </si>
  <si>
    <t>Diriģents</t>
  </si>
  <si>
    <t>Elektriķis</t>
  </si>
  <si>
    <t>Ergoterapeits</t>
  </si>
  <si>
    <t>Ēkas dežurants</t>
  </si>
  <si>
    <t>Ēkas uzraugs</t>
  </si>
  <si>
    <t>Fizioterapeits</t>
  </si>
  <si>
    <t>651 - 978</t>
  </si>
  <si>
    <t>I, IIB</t>
  </si>
  <si>
    <t>21. Juridiskā analīze, izpildes kontrole un pakalpojumi</t>
  </si>
  <si>
    <t>V</t>
  </si>
  <si>
    <t>14. Grāmatvedība</t>
  </si>
  <si>
    <t>18.3. Informācijas apkopošana un analīze: Dokumentu pārvaldība</t>
  </si>
  <si>
    <t>Galdnieks</t>
  </si>
  <si>
    <t>Galvenais speciālists</t>
  </si>
  <si>
    <t>Garderobists</t>
  </si>
  <si>
    <t>Inženieris</t>
  </si>
  <si>
    <t>Kasieris</t>
  </si>
  <si>
    <t>Kormeistars</t>
  </si>
  <si>
    <t>Kurinātājs</t>
  </si>
  <si>
    <t>Kvalificēts strādnieks</t>
  </si>
  <si>
    <t>Laborants</t>
  </si>
  <si>
    <t>Lietvedības pārzinis</t>
  </si>
  <si>
    <t>Masieris</t>
  </si>
  <si>
    <t>Mazgāšanas operators</t>
  </si>
  <si>
    <t>Medicīnas māsa</t>
  </si>
  <si>
    <t>IV</t>
  </si>
  <si>
    <t>IA</t>
  </si>
  <si>
    <t>30. Personāla vadība</t>
  </si>
  <si>
    <t>29. Pedagoģijas darbības atbalsts</t>
  </si>
  <si>
    <t>48.Sporta organizēšana un profesionālais sports</t>
  </si>
  <si>
    <t>42.2. Tulkošana mutvārdos</t>
  </si>
  <si>
    <t>3. Apsaimniekošana</t>
  </si>
  <si>
    <t>Mūzikas instrumentu skaņotājs</t>
  </si>
  <si>
    <t>Noformēšanas mākslinieks</t>
  </si>
  <si>
    <t>Noliktavas pārzinis</t>
  </si>
  <si>
    <t>Pavārs</t>
  </si>
  <si>
    <t>Personāla speciālists</t>
  </si>
  <si>
    <t>Rehabilitologs</t>
  </si>
  <si>
    <t>Saimniecības pārzinis</t>
  </si>
  <si>
    <t>Saimniecības vadītājs</t>
  </si>
  <si>
    <t>Sanitārtehniķis</t>
  </si>
  <si>
    <t xml:space="preserve">Sekretārs </t>
  </si>
  <si>
    <t>Sētnieks</t>
  </si>
  <si>
    <t>Skaņu operators</t>
  </si>
  <si>
    <t>Skolotāja palīgs</t>
  </si>
  <si>
    <t>Sociālais aprūpētājs</t>
  </si>
  <si>
    <t>Sociālais darbinieks</t>
  </si>
  <si>
    <t>Sporta instruktors</t>
  </si>
  <si>
    <t>Sporta kompleksa vadītājs</t>
  </si>
  <si>
    <t>Strādnieks</t>
  </si>
  <si>
    <t>Surdotulks</t>
  </si>
  <si>
    <t>Šefpavārs</t>
  </si>
  <si>
    <t>Vecākais saimniecības pārzinis</t>
  </si>
  <si>
    <t>Veļas pārzinis</t>
  </si>
  <si>
    <t>Virtuves darbinieks</t>
  </si>
  <si>
    <r>
      <t>Amata vietu skaits</t>
    </r>
    <r>
      <rPr>
        <b/>
        <i/>
        <vertAlign val="superscript"/>
        <sz val="13"/>
        <color indexed="8"/>
        <rFont val="Times New Roman"/>
        <family val="1"/>
      </rPr>
      <t>2</t>
    </r>
  </si>
  <si>
    <r>
      <t>Mēnešalgas diapazons</t>
    </r>
    <r>
      <rPr>
        <b/>
        <i/>
        <vertAlign val="superscript"/>
        <sz val="13"/>
        <color indexed="8"/>
        <rFont val="Times New Roman"/>
        <family val="1"/>
      </rPr>
      <t xml:space="preserve">3 </t>
    </r>
    <r>
      <rPr>
        <b/>
        <i/>
        <sz val="13"/>
        <color indexed="8"/>
        <rFont val="Times New Roman"/>
        <family val="1"/>
      </rPr>
      <t>(no–līdz)</t>
    </r>
  </si>
  <si>
    <r>
      <t>amatu saime, apakšsaime, līmenis vai amata kategorija, līmenis</t>
    </r>
    <r>
      <rPr>
        <b/>
        <i/>
        <vertAlign val="superscript"/>
        <sz val="13"/>
        <color indexed="8"/>
        <rFont val="Times New Roman"/>
        <family val="1"/>
      </rPr>
      <t>1</t>
    </r>
  </si>
  <si>
    <t>Apkures iekārtas operators</t>
  </si>
  <si>
    <t>Asistents personām ar invaliditāti</t>
  </si>
  <si>
    <t>Bērnu psihiatrs</t>
  </si>
  <si>
    <t>Gāzes iekārtu tehniķis</t>
  </si>
  <si>
    <t>Lietvedis</t>
  </si>
  <si>
    <t>Mākslas terapeits</t>
  </si>
  <si>
    <t>Oftalmologs</t>
  </si>
  <si>
    <t>Oftalmoloģijas māsa</t>
  </si>
  <si>
    <t>Otolaringologs</t>
  </si>
  <si>
    <t>Pediatrs</t>
  </si>
  <si>
    <t>1, 3</t>
  </si>
  <si>
    <t>Pirmsskolas iestādes māsa</t>
  </si>
  <si>
    <t>Agronoms</t>
  </si>
  <si>
    <t>Audio iekārtu operators</t>
  </si>
  <si>
    <t>Automehāniķis</t>
  </si>
  <si>
    <t>1. Administratīvā vadība</t>
  </si>
  <si>
    <t>12.3.Finanšu uzskaite un analīze pašvaldībā</t>
  </si>
  <si>
    <t>32. Projektu vadība</t>
  </si>
  <si>
    <t>23. Klientu apkalpošana</t>
  </si>
  <si>
    <t>Baseina tehnoloģisko iekārtu uzraudzības un apkalpošanas speciālists</t>
  </si>
  <si>
    <t>Rīgas Nacionālās sporta manēžas direktors</t>
  </si>
  <si>
    <t>Halles (internāta) pārzinis</t>
  </si>
  <si>
    <t>Ieroču tehniķis</t>
  </si>
  <si>
    <t>Jaunatnes darbinieks</t>
  </si>
  <si>
    <t>Klientu apkalpošanas speciālists</t>
  </si>
  <si>
    <t>Koka izstrādājumu dizaina speciālists</t>
  </si>
  <si>
    <t>Ledus kombaina vadītājs</t>
  </si>
  <si>
    <t>18.5. Informācijas apkopošana un analīze. Muzeju pakalpojumi.</t>
  </si>
  <si>
    <t>Metinātājs</t>
  </si>
  <si>
    <t>Muzeja vadītājs</t>
  </si>
  <si>
    <t>Muzeja krājumu glabātājs</t>
  </si>
  <si>
    <t>Projektu vadītājs</t>
  </si>
  <si>
    <t>Rēķinvedis</t>
  </si>
  <si>
    <t>Tablo akustikas speciālists</t>
  </si>
  <si>
    <t>Tehniķis</t>
  </si>
  <si>
    <t>Tehnoloģisko iekārtu uzraudzības un apkalpošanas speciālists</t>
  </si>
  <si>
    <t>Traktorists</t>
  </si>
  <si>
    <t>Vecākais speciālists</t>
  </si>
  <si>
    <t>Vecākais tehniķis</t>
  </si>
  <si>
    <t xml:space="preserve">18.3. Informācijas apkopošana un analīze: Dokumentu pārvaldība </t>
  </si>
  <si>
    <t xml:space="preserve">II </t>
  </si>
  <si>
    <t>38. Sekretariāta funkcijas</t>
  </si>
  <si>
    <t>32.Projektu vadība</t>
  </si>
  <si>
    <t>Apkopēja</t>
  </si>
  <si>
    <t>Biroja administrators</t>
  </si>
  <si>
    <t>Direktora palīgs</t>
  </si>
  <si>
    <t>Klavieru skaņotājs</t>
  </si>
  <si>
    <t xml:space="preserve">Mācību sekretāre </t>
  </si>
  <si>
    <t>Vadītāja palīgs</t>
  </si>
  <si>
    <t>13. Fiziskais un kvalificēts darbs</t>
  </si>
  <si>
    <t xml:space="preserve">Administrators </t>
  </si>
  <si>
    <t>41. Transportlīdzekļa vadīšana</t>
  </si>
  <si>
    <t>18.3 Informācijas apkopošana un analīze: Dokumentu pārvaldība</t>
  </si>
  <si>
    <t>Amatierteātra kolektīva vadītājs</t>
  </si>
  <si>
    <t>Ansambļa vadītājs</t>
  </si>
  <si>
    <t xml:space="preserve">Biļešu kasieris </t>
  </si>
  <si>
    <t>Biļešu kontrolieris</t>
  </si>
  <si>
    <t xml:space="preserve">Biroja administrators </t>
  </si>
  <si>
    <t>Biroja vadītājs</t>
  </si>
  <si>
    <t>Deju kolektīva vadītājs</t>
  </si>
  <si>
    <t>18.5. Informācijas apkopošana un analīze. Muzeju pakalpojumi</t>
  </si>
  <si>
    <t xml:space="preserve">Direktora /vadītāja vietnieks </t>
  </si>
  <si>
    <t>38. Sekretariāta funkcija</t>
  </si>
  <si>
    <t>Direktors</t>
  </si>
  <si>
    <t xml:space="preserve">13. Fiziskais un kvalificētais darbs </t>
  </si>
  <si>
    <t>12.3. Finanšu uzskaite un analīze pašvaldībā</t>
  </si>
  <si>
    <t>18.5. Informācijas  apkopošana un analīze. Muzeju pakalpojumi</t>
  </si>
  <si>
    <t>IIIB</t>
  </si>
  <si>
    <t xml:space="preserve">Dokumentu sistēmu vadītājs </t>
  </si>
  <si>
    <t xml:space="preserve">Ekskursiju gids </t>
  </si>
  <si>
    <t>Eksponātu uzraugs</t>
  </si>
  <si>
    <t>Ekspozīciju un izstāžu kurators</t>
  </si>
  <si>
    <t>Elektrotehnisko iekārtu ELEKTROINŽENIERIS</t>
  </si>
  <si>
    <t>Ēku iekšējo komunikāciju montāžas un ekspluatācijas speciālists</t>
  </si>
  <si>
    <t>Folkloras kopas vadītājs</t>
  </si>
  <si>
    <t>Gaismotājs</t>
  </si>
  <si>
    <t>Galvenais diriģents</t>
  </si>
  <si>
    <t>Galvenais ekonomists</t>
  </si>
  <si>
    <t>Galvenais KRĀJUMA GLABĀTĀJS</t>
  </si>
  <si>
    <t>Izglītojošā darba ar apmeklētājiem vadītājs</t>
  </si>
  <si>
    <t xml:space="preserve">Juriskonsults </t>
  </si>
  <si>
    <t>Kora diriģents</t>
  </si>
  <si>
    <t>Krājuma glabātājs</t>
  </si>
  <si>
    <t>Kultūras vadītājs (menedžeris)</t>
  </si>
  <si>
    <t>Lifta operators</t>
  </si>
  <si>
    <t xml:space="preserve">Mākslinieciskais vadītājs </t>
  </si>
  <si>
    <t>Mākslinieciskais vadītājs (tautas lietišķās mākslas studijās)</t>
  </si>
  <si>
    <t>Mākslinieciskā vadītāja palīgs (tautas lietišķās mākslas studijās)</t>
  </si>
  <si>
    <t xml:space="preserve">Muzejpedagogs </t>
  </si>
  <si>
    <t xml:space="preserve">Mūzikas instrumentu skaņotājs </t>
  </si>
  <si>
    <t>IC</t>
  </si>
  <si>
    <t>Pūšaminstrumentu MŪZIĶIS</t>
  </si>
  <si>
    <t>Stīginstrumentu MŪZIĶIS</t>
  </si>
  <si>
    <t>Sitaminstrumentu MŪZIĶIS</t>
  </si>
  <si>
    <t xml:space="preserve">Pūšaminstrumentu MŪZIĶIS (regulators) </t>
  </si>
  <si>
    <t>Sitaminstrumentu MŪZIĶIS (regulators)</t>
  </si>
  <si>
    <t>Noformēšanas MĀKSLINIEKS</t>
  </si>
  <si>
    <t xml:space="preserve">Noliktavas pārzinis </t>
  </si>
  <si>
    <t>Orķestra koncertmeistars</t>
  </si>
  <si>
    <t>Personāla vadītājs</t>
  </si>
  <si>
    <t xml:space="preserve">Projektu koordinators </t>
  </si>
  <si>
    <t>VI</t>
  </si>
  <si>
    <t>24. Komunikācija un sabiedriskās attiecības</t>
  </si>
  <si>
    <t xml:space="preserve">Projektu vadītājs </t>
  </si>
  <si>
    <t>Restaurators</t>
  </si>
  <si>
    <t>Sabiedrisko attiecību speciālists</t>
  </si>
  <si>
    <t xml:space="preserve">Skaņu operators </t>
  </si>
  <si>
    <t>Tehniskais strādnieks</t>
  </si>
  <si>
    <t>18.1. Informācijas apkopošana un analīze. Arhīvu pakalpojumi</t>
  </si>
  <si>
    <t>41. Transporta vadīšana</t>
  </si>
  <si>
    <t>6. Darba aizsardzība</t>
  </si>
  <si>
    <t>19.2. Informācijas tehnoloģijas. Datu atbalsts</t>
  </si>
  <si>
    <t>19.5. Informācijas tehnoloģijas. Sistēmu administrēšana un uzturēšana</t>
  </si>
  <si>
    <t>1. Administratīva vadība</t>
  </si>
  <si>
    <t>II A</t>
  </si>
  <si>
    <t>II B</t>
  </si>
  <si>
    <t>18.2. Informācijas apkopošana un analīze. Bibliotēku pakalpojumi</t>
  </si>
  <si>
    <t>21. Juridiska analīze, izpildes kontrole un pakalpojumi</t>
  </si>
  <si>
    <t>19.3. Informācijas tehnoloģijas. Informācijas tehnoloģiju un informācijas sistēmas vadība</t>
  </si>
  <si>
    <t>IV B</t>
  </si>
  <si>
    <t>19.4. Informācijas tehnoloģijas. Programmatūras attīstība</t>
  </si>
  <si>
    <t>Apdares darbu strādnieks</t>
  </si>
  <si>
    <t>Apkures/krāšņu kurinātājs</t>
  </si>
  <si>
    <t xml:space="preserve">Arhivārs                                       </t>
  </si>
  <si>
    <t xml:space="preserve">Datortehnikas inženieris </t>
  </si>
  <si>
    <t xml:space="preserve">Datortīkla administrators </t>
  </si>
  <si>
    <t>Dežurants</t>
  </si>
  <si>
    <t xml:space="preserve">Direktors </t>
  </si>
  <si>
    <t>Direktora vietnieks</t>
  </si>
  <si>
    <t>Dienesta vadītājs</t>
  </si>
  <si>
    <t>Elektromontieris</t>
  </si>
  <si>
    <t>Filiālbibliotēkas vadītājs</t>
  </si>
  <si>
    <t>Galvenais bibliotekārs</t>
  </si>
  <si>
    <t>Galvenais eksperts bibliotēku jomā</t>
  </si>
  <si>
    <t xml:space="preserve">Informācijas sistēmu administrators </t>
  </si>
  <si>
    <t>Juriskonsults</t>
  </si>
  <si>
    <t>Nodaļas vadītājs</t>
  </si>
  <si>
    <t>Palīgstrādnieks</t>
  </si>
  <si>
    <t>Personāla nodaļas vadītājs</t>
  </si>
  <si>
    <t>Programmētājs</t>
  </si>
  <si>
    <t xml:space="preserve">Sabiedrisko attiecību vadītājs </t>
  </si>
  <si>
    <t>Saimniecības nodaļas vadītājs</t>
  </si>
  <si>
    <t>Sekretariāta vadītājs</t>
  </si>
  <si>
    <t>Vecākais bibliotekārs</t>
  </si>
  <si>
    <t>Nodaļas vadītājs - direktora vietnieks</t>
  </si>
  <si>
    <t>Ziemeļi</t>
  </si>
  <si>
    <t>Latgale</t>
  </si>
  <si>
    <t>Kurzeme</t>
  </si>
  <si>
    <t>Vidzeme</t>
  </si>
  <si>
    <t>internātskolas</t>
  </si>
  <si>
    <t xml:space="preserve">kopā </t>
  </si>
  <si>
    <t xml:space="preserve">skolas </t>
  </si>
  <si>
    <t>spe.internātskolas</t>
  </si>
  <si>
    <t>16.01.01. Rīgas Izglītības un informatīvi metodiskais centrs</t>
  </si>
  <si>
    <t>Algas fonds</t>
  </si>
  <si>
    <t>Informācija par Rīgas domes Izglītības, kultūras un sporta departamenta padotībā esošo iestāžu amatpersonu un darbinieku mēnešalgu apmēru sadalījumā pa amatu grupām</t>
  </si>
  <si>
    <t xml:space="preserve"> Skolas kopā (budžetas programmas 16.04.00. "Sākumskolas,pamatskolas,vidusskolas", 16.05.00. "Internātskolas un sanatorijas internātskolas", 16.06.00."Speciālās internātskolas")</t>
  </si>
  <si>
    <t>16.20.00. "Mūzikas un mākslas skolas""</t>
  </si>
  <si>
    <r>
      <t>Amata vietu skaits</t>
    </r>
    <r>
      <rPr>
        <b/>
        <i/>
        <vertAlign val="superscript"/>
        <sz val="13"/>
        <color indexed="8"/>
        <rFont val="Times New Roman"/>
        <family val="1"/>
      </rPr>
      <t xml:space="preserve">2 </t>
    </r>
  </si>
  <si>
    <t>Algu fonds kopā</t>
  </si>
  <si>
    <t>Augusta Dombrovska mūzikas skola</t>
  </si>
  <si>
    <t>Rīgas 3. mūzikas skola</t>
  </si>
  <si>
    <t>Pārdaugavas mūzikas un mākslas skola</t>
  </si>
  <si>
    <t>Juglas mūzikas skola</t>
  </si>
  <si>
    <t>Pāvula jurjāna mūzikas skola</t>
  </si>
  <si>
    <t>Jāzepa Mediņa Rīgas 1. mūzikas skola</t>
  </si>
  <si>
    <t>Bolderājas mūzikas un mākslas skola</t>
  </si>
  <si>
    <t>Māras Muižnieces Rīgas mākslas skola</t>
  </si>
  <si>
    <t>Latgales prikšpilsētas mūzikas un mākslas skola</t>
  </si>
  <si>
    <t>amata vietu skaits</t>
  </si>
  <si>
    <t>individuālā darbiniekamēnešalga</t>
  </si>
  <si>
    <t>algas likme</t>
  </si>
  <si>
    <t>algas kikme</t>
  </si>
  <si>
    <t>Kopā</t>
  </si>
  <si>
    <t>16.07.01. "Sporta un interešu izglītības iestādes"un 16.10.00. "Rīgas pašvaldības sporta iestāde "Rīgas Nacionālā sporta manēža""</t>
  </si>
  <si>
    <t>BJC Skolēnu pils</t>
  </si>
  <si>
    <t>BJC "Bolderāja"</t>
  </si>
  <si>
    <t>BJC "Daugmale"</t>
  </si>
  <si>
    <t>BJC "Kurzeme"</t>
  </si>
  <si>
    <t>BJc "IK Auseklis"</t>
  </si>
  <si>
    <t>MJC "Praktiskaās estētikas skola"</t>
  </si>
  <si>
    <t>Jauno tehniķu centrs</t>
  </si>
  <si>
    <t>TJN "Annas 2"</t>
  </si>
  <si>
    <t>BJC "Altona "</t>
  </si>
  <si>
    <t>BJC "Zolitūde"</t>
  </si>
  <si>
    <t>BJVIC "Rīgas Dabaszinību skola"</t>
  </si>
  <si>
    <t>BJC "Laimīte"</t>
  </si>
  <si>
    <t>BJC "Mīlgrāvis"</t>
  </si>
  <si>
    <t>SP.sk "Arkādija"</t>
  </si>
  <si>
    <t>Kr.Kundzina cīņas sp. sk.</t>
  </si>
  <si>
    <t>Rīgas Futbola skola</t>
  </si>
  <si>
    <t>Rīgas Riteņbraukšanas skola</t>
  </si>
  <si>
    <t>BJSS "Rīdzene"</t>
  </si>
  <si>
    <t>Rīgas Šaha skola</t>
  </si>
  <si>
    <t>Rīgasc 3.bērbu un jaunatnes sp.sk.</t>
  </si>
  <si>
    <t>Rīgas Vingrošanas skola</t>
  </si>
  <si>
    <t>Rīgas Volejbola skola</t>
  </si>
  <si>
    <t>Hokeja skola "Rīga"</t>
  </si>
  <si>
    <t>Basketbola skola "Rīga"</t>
  </si>
  <si>
    <t>manēža</t>
  </si>
  <si>
    <t>AF mēn</t>
  </si>
  <si>
    <t>Mēnešalga</t>
  </si>
  <si>
    <t>Tsk maksas:</t>
  </si>
  <si>
    <t>Galvenais spec._juridiskā analīze</t>
  </si>
  <si>
    <t xml:space="preserve">BEZ Maksas </t>
  </si>
  <si>
    <t>Programmas 16.02.00."Pirmsskolas bērnu izglītības iestādes un 16.03.00. "Specializētās pirmsskolas bērnu izglītības iestādes"</t>
  </si>
  <si>
    <t>Fonds</t>
  </si>
  <si>
    <t>Programma 16.12.00. "Bibliotēkas"</t>
  </si>
  <si>
    <t>Programmas 16.15.00."Kultūras centri un nami" un 16.18.00. "Atlīdzība amatietkolektīvu vadītājiem un speciālistiem"</t>
  </si>
  <si>
    <t xml:space="preserve"> amatu saime, apakšsaime, līmenis vai amata kategorija, līmenis1</t>
  </si>
  <si>
    <t>657-1095</t>
  </si>
  <si>
    <t>535 - 850</t>
  </si>
  <si>
    <t>535-850</t>
  </si>
  <si>
    <t>Sporta zāles un laukuma pārzinis</t>
  </si>
  <si>
    <t>4.Apsardze un uzraudzība</t>
  </si>
  <si>
    <t>Baseina dežurants</t>
  </si>
  <si>
    <t>430-460</t>
  </si>
  <si>
    <t>430-610</t>
  </si>
  <si>
    <t>450-703</t>
  </si>
  <si>
    <t>430-522</t>
  </si>
  <si>
    <t>450-522</t>
  </si>
  <si>
    <t>1059-1766</t>
  </si>
  <si>
    <t>Galvenais ārsts</t>
  </si>
  <si>
    <t>842-1403</t>
  </si>
  <si>
    <t>Skatuves meistars</t>
  </si>
  <si>
    <t>Ugunsdzēsējs</t>
  </si>
  <si>
    <t>Stīginstrumentu MŪZIĶIS (regulators)</t>
  </si>
  <si>
    <t>Orķestra diriģents</t>
  </si>
  <si>
    <t>Skaņu režisors</t>
  </si>
  <si>
    <t>Siltumenerģētikas tehniķis</t>
  </si>
  <si>
    <t>Gaismu režisors</t>
  </si>
  <si>
    <t>Galvenais Mākslinieks</t>
  </si>
  <si>
    <t>23.Klientu apkalpošana</t>
  </si>
  <si>
    <t>1339-2232</t>
  </si>
  <si>
    <t>430-160</t>
  </si>
  <si>
    <t>Arina</t>
  </si>
  <si>
    <t>spec.pii</t>
  </si>
  <si>
    <t>hilda</t>
  </si>
  <si>
    <t>Dace B</t>
  </si>
  <si>
    <t>Dace O</t>
  </si>
  <si>
    <t>Zemgale</t>
  </si>
  <si>
    <t>Centrs</t>
  </si>
  <si>
    <t>1339-1917</t>
  </si>
  <si>
    <t>Līga</t>
  </si>
  <si>
    <t>Līga maksas</t>
  </si>
  <si>
    <t>Aija B.</t>
  </si>
  <si>
    <t>Ieva</t>
  </si>
  <si>
    <t>Manēža</t>
  </si>
  <si>
    <t>Informāciju sistēmas administrators</t>
  </si>
  <si>
    <t>Virsdiriģents</t>
  </si>
  <si>
    <t>Deju kolektīvu virsvadītājs</t>
  </si>
  <si>
    <t>Internātskolas</t>
  </si>
  <si>
    <t>spec.inter. Nataļja</t>
  </si>
  <si>
    <t>maksas -spec.internātsk.</t>
  </si>
  <si>
    <t>spec. Anda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</si>
</sst>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vertAlign val="superscript"/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3"/>
      <name val="Calibri"/>
      <family val="2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Calibri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27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0" fontId="49" fillId="33" borderId="0" xfId="0" applyFont="1" applyFill="1" applyBorder="1" applyAlignment="1">
      <alignment/>
    </xf>
    <xf numFmtId="0" fontId="49" fillId="0" borderId="0" xfId="0" applyFont="1" applyBorder="1" applyAlignment="1">
      <alignment vertical="center" wrapText="1"/>
    </xf>
    <xf numFmtId="0" fontId="49" fillId="27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27" borderId="0" xfId="0" applyFont="1" applyFill="1" applyBorder="1" applyAlignment="1">
      <alignment horizontal="center"/>
    </xf>
    <xf numFmtId="2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9" fillId="33" borderId="0" xfId="0" applyFont="1" applyFill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6" xfId="0" applyFont="1" applyBorder="1" applyAlignment="1">
      <alignment shrinkToFit="1"/>
    </xf>
    <xf numFmtId="0" fontId="50" fillId="0" borderId="17" xfId="0" applyFont="1" applyBorder="1" applyAlignment="1">
      <alignment shrinkToFit="1"/>
    </xf>
    <xf numFmtId="0" fontId="50" fillId="0" borderId="11" xfId="0" applyFont="1" applyBorder="1" applyAlignment="1">
      <alignment shrinkToFit="1"/>
    </xf>
    <xf numFmtId="0" fontId="50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2" fontId="49" fillId="0" borderId="0" xfId="0" applyNumberFormat="1" applyFont="1" applyAlignment="1">
      <alignment/>
    </xf>
    <xf numFmtId="0" fontId="49" fillId="0" borderId="15" xfId="0" applyFont="1" applyFill="1" applyBorder="1" applyAlignment="1">
      <alignment vertical="center" wrapText="1"/>
    </xf>
    <xf numFmtId="0" fontId="49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/>
    </xf>
    <xf numFmtId="0" fontId="49" fillId="0" borderId="15" xfId="0" applyFont="1" applyFill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6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164" fontId="50" fillId="0" borderId="15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49" fillId="33" borderId="0" xfId="0" applyFont="1" applyFill="1" applyBorder="1" applyAlignment="1">
      <alignment horizontal="center"/>
    </xf>
    <xf numFmtId="2" fontId="49" fillId="0" borderId="12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33" borderId="24" xfId="0" applyFont="1" applyFill="1" applyBorder="1" applyAlignment="1">
      <alignment/>
    </xf>
    <xf numFmtId="0" fontId="49" fillId="0" borderId="25" xfId="0" applyFont="1" applyBorder="1" applyAlignment="1">
      <alignment/>
    </xf>
    <xf numFmtId="0" fontId="49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2" fontId="49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 wrapText="1"/>
    </xf>
    <xf numFmtId="0" fontId="49" fillId="5" borderId="0" xfId="0" applyFont="1" applyFill="1" applyAlignment="1">
      <alignment/>
    </xf>
    <xf numFmtId="0" fontId="48" fillId="5" borderId="10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" fontId="49" fillId="5" borderId="10" xfId="0" applyNumberFormat="1" applyFont="1" applyFill="1" applyBorder="1" applyAlignment="1">
      <alignment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2" fontId="50" fillId="5" borderId="10" xfId="0" applyNumberFormat="1" applyFont="1" applyFill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49" fillId="5" borderId="10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/>
    </xf>
    <xf numFmtId="0" fontId="49" fillId="5" borderId="15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vertical="center" wrapText="1"/>
    </xf>
    <xf numFmtId="2" fontId="49" fillId="5" borderId="12" xfId="0" applyNumberFormat="1" applyFont="1" applyFill="1" applyBorder="1" applyAlignment="1">
      <alignment horizontal="center" vertical="center" wrapText="1"/>
    </xf>
    <xf numFmtId="2" fontId="50" fillId="5" borderId="10" xfId="0" applyNumberFormat="1" applyFont="1" applyFill="1" applyBorder="1" applyAlignment="1">
      <alignment horizontal="center" vertical="center" wrapText="1"/>
    </xf>
    <xf numFmtId="0" fontId="48" fillId="5" borderId="0" xfId="0" applyFont="1" applyFill="1" applyAlignment="1">
      <alignment/>
    </xf>
    <xf numFmtId="0" fontId="49" fillId="5" borderId="10" xfId="0" applyFont="1" applyFill="1" applyBorder="1" applyAlignment="1">
      <alignment horizontal="center"/>
    </xf>
    <xf numFmtId="0" fontId="49" fillId="5" borderId="10" xfId="0" applyFont="1" applyFill="1" applyBorder="1" applyAlignment="1">
      <alignment/>
    </xf>
    <xf numFmtId="2" fontId="49" fillId="0" borderId="1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49" fillId="0" borderId="10" xfId="0" applyNumberFormat="1" applyFont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16" xfId="0" applyFont="1" applyBorder="1" applyAlignment="1">
      <alignment/>
    </xf>
    <xf numFmtId="0" fontId="49" fillId="5" borderId="0" xfId="0" applyFont="1" applyFill="1" applyBorder="1" applyAlignment="1">
      <alignment/>
    </xf>
    <xf numFmtId="0" fontId="49" fillId="5" borderId="23" xfId="0" applyFont="1" applyFill="1" applyBorder="1" applyAlignment="1">
      <alignment/>
    </xf>
    <xf numFmtId="0" fontId="49" fillId="5" borderId="24" xfId="0" applyFont="1" applyFill="1" applyBorder="1" applyAlignment="1">
      <alignment/>
    </xf>
    <xf numFmtId="0" fontId="48" fillId="5" borderId="0" xfId="0" applyFont="1" applyFill="1" applyBorder="1" applyAlignment="1">
      <alignment/>
    </xf>
    <xf numFmtId="0" fontId="49" fillId="5" borderId="0" xfId="0" applyFont="1" applyFill="1" applyBorder="1" applyAlignment="1">
      <alignment horizontal="center"/>
    </xf>
    <xf numFmtId="0" fontId="49" fillId="7" borderId="0" xfId="0" applyFont="1" applyFill="1" applyBorder="1" applyAlignment="1">
      <alignment/>
    </xf>
    <xf numFmtId="0" fontId="48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2" fontId="49" fillId="7" borderId="13" xfId="0" applyNumberFormat="1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2" fontId="49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NumberFormat="1" applyFont="1" applyFill="1" applyBorder="1" applyAlignment="1">
      <alignment horizontal="center" vertical="center" wrapText="1"/>
    </xf>
    <xf numFmtId="2" fontId="49" fillId="7" borderId="12" xfId="0" applyNumberFormat="1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wrapText="1"/>
    </xf>
    <xf numFmtId="0" fontId="50" fillId="7" borderId="27" xfId="0" applyFont="1" applyFill="1" applyBorder="1" applyAlignment="1">
      <alignment wrapText="1"/>
    </xf>
    <xf numFmtId="2" fontId="50" fillId="7" borderId="27" xfId="0" applyNumberFormat="1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/>
    </xf>
    <xf numFmtId="0" fontId="49" fillId="35" borderId="23" xfId="0" applyFont="1" applyFill="1" applyBorder="1" applyAlignment="1">
      <alignment/>
    </xf>
    <xf numFmtId="0" fontId="49" fillId="35" borderId="24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9" fillId="35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0" applyFont="1" applyFill="1" applyAlignment="1">
      <alignment/>
    </xf>
    <xf numFmtId="2" fontId="49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33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17" borderId="0" xfId="0" applyFont="1" applyFill="1" applyBorder="1" applyAlignment="1">
      <alignment/>
    </xf>
    <xf numFmtId="0" fontId="49" fillId="17" borderId="24" xfId="0" applyFont="1" applyFill="1" applyBorder="1" applyAlignment="1">
      <alignment/>
    </xf>
    <xf numFmtId="0" fontId="49" fillId="17" borderId="25" xfId="0" applyFont="1" applyFill="1" applyBorder="1" applyAlignment="1">
      <alignment/>
    </xf>
    <xf numFmtId="0" fontId="48" fillId="17" borderId="0" xfId="0" applyFont="1" applyFill="1" applyBorder="1" applyAlignment="1">
      <alignment/>
    </xf>
    <xf numFmtId="0" fontId="49" fillId="17" borderId="0" xfId="0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4" fillId="0" borderId="18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iga.zommere\Desktop\Atl&#299;dz&#299;ba%20(visi%20gadi)\amatu%20sadal&#299;jums%20pa%20grup&#257;m\RD_2018_PII_Menesalgas_pa_grupam_publicesanai_pirmsskolas_Ari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iga.zommere\Desktop\Atl&#299;dz&#299;ba%20(visi%20gadi)\amatu%20sadal&#299;jums%20pa%20grup&#257;m\RD_2018_SPEC_PII_Menesalgas_pa_grupam_publicesanai_pirmsskolas%20-%20Cop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iga.zommere\Desktop\Atl&#299;dz&#299;ba%20(visi%20gadi)\amatu%20sadal&#299;jums%20pa%20grup&#257;m\RD_2018_Menesalgas_pa_grupam_publicesanai_pirmsskolas%20-%20Vidzem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iga.zommere\Desktop\Atl&#299;dz&#299;ba%20(visi%20gadi)\amatu%20sadal&#299;jums%20pa%20grup&#257;m\BJC_MP_2018_M&#275;nesalgas_pa_grupam_sports,intere&#353;u-publicesanai_iestades_L&#299;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msskolas"/>
      <sheetName val="Priedite"/>
      <sheetName val="Madarina"/>
      <sheetName val="14_pii"/>
      <sheetName val="Laismina"/>
      <sheetName val="46_pii"/>
      <sheetName val="62_pii"/>
      <sheetName val="Kamenite"/>
      <sheetName val="80_pii"/>
      <sheetName val="81_pii"/>
      <sheetName val="Kadikitis"/>
      <sheetName val="123_pii"/>
      <sheetName val="139_pii"/>
      <sheetName val="Pasacina"/>
      <sheetName val="Kamolitis"/>
      <sheetName val="Annele"/>
      <sheetName val="234_pii"/>
      <sheetName val="Saulstarini"/>
      <sheetName val="Kurze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_pirmsskola"/>
      <sheetName val="Mezaparks"/>
      <sheetName val="153_pii"/>
      <sheetName val="Sapnudarzs"/>
      <sheetName val="Teiksma"/>
      <sheetName val="146_pii"/>
      <sheetName val="Saulespuke"/>
      <sheetName val="Zilbīte"/>
      <sheetName val="Dzintariņš"/>
      <sheetName val="8_pii"/>
      <sheetName val="Imanta"/>
      <sheetName val="Dardedze"/>
      <sheetName val="Riekstins"/>
      <sheetName val="Pasacina"/>
      <sheetName val="Kamolitis"/>
      <sheetName val="Annele"/>
      <sheetName val="234_pii"/>
      <sheetName val="Saulstarini"/>
      <sheetName val="Kurzem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rmsskolas"/>
      <sheetName val="49.pii"/>
      <sheetName val="57.pii "/>
      <sheetName val="59.pii"/>
      <sheetName val="61.pii"/>
      <sheetName val="66.pii"/>
      <sheetName val="74.pii"/>
      <sheetName val="79.pii"/>
      <sheetName val="106.pii"/>
      <sheetName val="112.pii"/>
      <sheetName val="126.pii"/>
      <sheetName val="148.pii"/>
      <sheetName val="152.pii"/>
      <sheetName val="154.pii"/>
      <sheetName val="160.pii"/>
      <sheetName val="167.pii"/>
      <sheetName val="180.pii"/>
      <sheetName val="182.pii"/>
      <sheetName val="213.pii"/>
      <sheetName val="221.pii"/>
      <sheetName val="231.pii"/>
      <sheetName val="233.pii"/>
      <sheetName val="236.pii"/>
      <sheetName val="241.pii"/>
      <sheetName val="Zīļuks"/>
      <sheetName val="243.pii"/>
      <sheetName val="244.pii"/>
      <sheetName val="251.pii"/>
      <sheetName val="252.pii"/>
      <sheetName val="273.pii"/>
      <sheetName val="Auseklis"/>
      <sheetName val="Dzilniņ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rešu+sporta_"/>
      <sheetName val="Lapa1"/>
      <sheetName val="Lapa2"/>
      <sheetName val="Skolēnu Pils"/>
      <sheetName val="Laimīte"/>
      <sheetName val="Daugmale"/>
      <sheetName val="Altona"/>
      <sheetName val="Šaha"/>
      <sheetName val="BSKR_Rīg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3"/>
  <sheetViews>
    <sheetView zoomScale="90" zoomScaleNormal="90" zoomScalePageLayoutView="0" workbookViewId="0" topLeftCell="B36">
      <selection activeCell="BZ18" sqref="BZ18"/>
    </sheetView>
  </sheetViews>
  <sheetFormatPr defaultColWidth="9.140625" defaultRowHeight="15"/>
  <cols>
    <col min="1" max="1" width="8.00390625" style="28" hidden="1" customWidth="1"/>
    <col min="2" max="2" width="36.00390625" style="28" customWidth="1"/>
    <col min="3" max="3" width="12.28125" style="28" customWidth="1"/>
    <col min="4" max="4" width="34.8515625" style="28" customWidth="1"/>
    <col min="5" max="5" width="16.140625" style="38" customWidth="1"/>
    <col min="6" max="7" width="18.7109375" style="28" customWidth="1"/>
    <col min="8" max="8" width="12.8515625" style="28" hidden="1" customWidth="1"/>
    <col min="9" max="9" width="1.57421875" style="29" hidden="1" customWidth="1"/>
    <col min="10" max="10" width="9.140625" style="195" hidden="1" customWidth="1"/>
    <col min="11" max="11" width="0" style="195" hidden="1" customWidth="1"/>
    <col min="12" max="12" width="9.140625" style="195" hidden="1" customWidth="1"/>
    <col min="13" max="13" width="11.140625" style="195" hidden="1" customWidth="1"/>
    <col min="14" max="14" width="1.1484375" style="33" hidden="1" customWidth="1"/>
    <col min="15" max="15" width="11.8515625" style="28" hidden="1" customWidth="1"/>
    <col min="16" max="17" width="11.7109375" style="28" hidden="1" customWidth="1"/>
    <col min="18" max="18" width="12.8515625" style="28" hidden="1" customWidth="1"/>
    <col min="19" max="19" width="0.85546875" style="33" hidden="1" customWidth="1"/>
    <col min="20" max="22" width="0" style="223" hidden="1" customWidth="1"/>
    <col min="23" max="23" width="11.421875" style="223" hidden="1" customWidth="1"/>
    <col min="24" max="24" width="0.85546875" style="33" hidden="1" customWidth="1"/>
    <col min="25" max="28" width="0" style="175" hidden="1" customWidth="1"/>
    <col min="29" max="29" width="0.85546875" style="33" hidden="1" customWidth="1"/>
    <col min="30" max="30" width="0" style="180" hidden="1" customWidth="1"/>
    <col min="31" max="31" width="14.421875" style="180" hidden="1" customWidth="1"/>
    <col min="32" max="32" width="0" style="180" hidden="1" customWidth="1"/>
    <col min="33" max="33" width="14.00390625" style="28" hidden="1" customWidth="1"/>
    <col min="34" max="34" width="1.1484375" style="33" hidden="1" customWidth="1"/>
    <col min="35" max="37" width="0" style="28" hidden="1" customWidth="1"/>
    <col min="38" max="38" width="10.8515625" style="28" hidden="1" customWidth="1"/>
    <col min="39" max="39" width="1.57421875" style="33" hidden="1" customWidth="1"/>
    <col min="40" max="40" width="0" style="28" hidden="1" customWidth="1"/>
    <col min="41" max="41" width="14.57421875" style="28" hidden="1" customWidth="1"/>
    <col min="42" max="43" width="0" style="28" hidden="1" customWidth="1"/>
    <col min="44" max="44" width="2.00390625" style="33" hidden="1" customWidth="1"/>
    <col min="45" max="45" width="0" style="28" hidden="1" customWidth="1"/>
    <col min="46" max="46" width="13.57421875" style="28" hidden="1" customWidth="1"/>
    <col min="47" max="47" width="0" style="28" hidden="1" customWidth="1"/>
    <col min="48" max="48" width="8.140625" style="28" hidden="1" customWidth="1"/>
    <col min="49" max="49" width="1.1484375" style="33" hidden="1" customWidth="1"/>
    <col min="50" max="50" width="0" style="28" hidden="1" customWidth="1"/>
    <col min="51" max="51" width="13.421875" style="28" hidden="1" customWidth="1"/>
    <col min="52" max="53" width="0" style="28" hidden="1" customWidth="1"/>
    <col min="54" max="54" width="1.7109375" style="33" hidden="1" customWidth="1"/>
    <col min="55" max="55" width="0" style="28" hidden="1" customWidth="1"/>
    <col min="56" max="56" width="12.57421875" style="28" hidden="1" customWidth="1"/>
    <col min="57" max="58" width="0" style="28" hidden="1" customWidth="1"/>
    <col min="59" max="59" width="1.7109375" style="33" hidden="1" customWidth="1"/>
    <col min="60" max="69" width="0" style="28" hidden="1" customWidth="1"/>
    <col min="70" max="16384" width="9.140625" style="28" customWidth="1"/>
  </cols>
  <sheetData>
    <row r="1" spans="1:7" ht="39.75" customHeight="1">
      <c r="A1" s="230" t="s">
        <v>252</v>
      </c>
      <c r="B1" s="230"/>
      <c r="C1" s="230"/>
      <c r="D1" s="230"/>
      <c r="E1" s="230"/>
      <c r="F1" s="230"/>
      <c r="G1" s="230"/>
    </row>
    <row r="2" spans="1:8" ht="40.5" customHeight="1" thickBot="1">
      <c r="A2" s="231" t="s">
        <v>253</v>
      </c>
      <c r="B2" s="231"/>
      <c r="C2" s="231"/>
      <c r="D2" s="231"/>
      <c r="E2" s="231"/>
      <c r="F2" s="231"/>
      <c r="G2" s="231"/>
      <c r="H2" s="32"/>
    </row>
    <row r="3" spans="1:37" ht="17.25">
      <c r="A3" s="236" t="s">
        <v>0</v>
      </c>
      <c r="B3" s="237"/>
      <c r="C3" s="237"/>
      <c r="D3" s="237"/>
      <c r="E3" s="237" t="s">
        <v>94</v>
      </c>
      <c r="F3" s="237" t="s">
        <v>95</v>
      </c>
      <c r="G3" s="228" t="s">
        <v>1</v>
      </c>
      <c r="K3" s="195" t="s">
        <v>245</v>
      </c>
      <c r="P3" s="28" t="s">
        <v>337</v>
      </c>
      <c r="U3" s="223" t="s">
        <v>338</v>
      </c>
      <c r="Z3" s="175" t="s">
        <v>243</v>
      </c>
      <c r="AE3" s="180" t="s">
        <v>244</v>
      </c>
      <c r="AK3" s="28" t="s">
        <v>242</v>
      </c>
    </row>
    <row r="4" spans="1:56" ht="18" thickBot="1">
      <c r="A4" s="232" t="s">
        <v>96</v>
      </c>
      <c r="B4" s="233"/>
      <c r="C4" s="233"/>
      <c r="D4" s="45" t="s">
        <v>2</v>
      </c>
      <c r="E4" s="233"/>
      <c r="F4" s="233"/>
      <c r="G4" s="229"/>
      <c r="H4" s="23"/>
      <c r="I4" s="27"/>
      <c r="AO4" s="28" t="s">
        <v>348</v>
      </c>
      <c r="AT4" s="28" t="s">
        <v>349</v>
      </c>
      <c r="AY4" s="28" t="s">
        <v>350</v>
      </c>
      <c r="BD4" s="28" t="s">
        <v>351</v>
      </c>
    </row>
    <row r="5" spans="1:38" ht="18" thickBot="1">
      <c r="A5" s="21">
        <v>1</v>
      </c>
      <c r="B5" s="234">
        <v>1</v>
      </c>
      <c r="C5" s="235"/>
      <c r="D5" s="44">
        <v>2</v>
      </c>
      <c r="E5" s="44">
        <v>3</v>
      </c>
      <c r="F5" s="44">
        <v>4</v>
      </c>
      <c r="G5" s="44">
        <v>5</v>
      </c>
      <c r="H5" s="26"/>
      <c r="I5" s="27"/>
      <c r="J5" s="196">
        <v>3</v>
      </c>
      <c r="K5" s="197">
        <v>4</v>
      </c>
      <c r="L5" s="197">
        <v>5</v>
      </c>
      <c r="M5" s="197"/>
      <c r="N5" s="133"/>
      <c r="O5" s="132">
        <v>3</v>
      </c>
      <c r="P5" s="132">
        <v>4</v>
      </c>
      <c r="Q5" s="132">
        <v>5</v>
      </c>
      <c r="R5" s="132"/>
      <c r="S5" s="133"/>
      <c r="T5" s="224">
        <v>3</v>
      </c>
      <c r="U5" s="224">
        <v>4</v>
      </c>
      <c r="V5" s="224">
        <v>5</v>
      </c>
      <c r="W5" s="225">
        <v>6</v>
      </c>
      <c r="Y5" s="176">
        <v>3</v>
      </c>
      <c r="Z5" s="177">
        <v>4</v>
      </c>
      <c r="AA5" s="177">
        <v>5</v>
      </c>
      <c r="AB5" s="177"/>
      <c r="AC5" s="133"/>
      <c r="AD5" s="181">
        <v>3</v>
      </c>
      <c r="AE5" s="181">
        <v>4</v>
      </c>
      <c r="AF5" s="181">
        <v>5</v>
      </c>
      <c r="AG5" s="136"/>
      <c r="AI5" s="131">
        <v>3</v>
      </c>
      <c r="AJ5" s="132">
        <v>4</v>
      </c>
      <c r="AK5" s="132">
        <v>5</v>
      </c>
      <c r="AL5" s="134"/>
    </row>
    <row r="6" spans="1:58" ht="16.5">
      <c r="A6" s="4">
        <v>8</v>
      </c>
      <c r="B6" s="4" t="s">
        <v>70</v>
      </c>
      <c r="C6" s="4" t="s">
        <v>6</v>
      </c>
      <c r="D6" s="6" t="s">
        <v>91</v>
      </c>
      <c r="E6" s="42">
        <f>J6+O6+T6+Y6+AD6+AI6+AN6+AS6+AX6+BC6</f>
        <v>3</v>
      </c>
      <c r="F6" s="119" t="s">
        <v>309</v>
      </c>
      <c r="G6" s="43">
        <f aca="true" t="shared" si="0" ref="G6:G64">H6/E6</f>
        <v>781</v>
      </c>
      <c r="H6" s="34">
        <f>M6+R6+W6+AB6+AG6+AL6+AQ6+AV6+BA6+BF6</f>
        <v>2343</v>
      </c>
      <c r="J6" s="195">
        <v>1</v>
      </c>
      <c r="K6" s="195" t="s">
        <v>309</v>
      </c>
      <c r="L6" s="195">
        <v>683</v>
      </c>
      <c r="M6" s="195">
        <v>683</v>
      </c>
      <c r="O6" s="28">
        <v>0</v>
      </c>
      <c r="P6" s="28" t="s">
        <v>309</v>
      </c>
      <c r="Q6" s="28" t="e">
        <v>#DIV/0!</v>
      </c>
      <c r="R6" s="28">
        <v>0</v>
      </c>
      <c r="T6" s="223">
        <v>0</v>
      </c>
      <c r="U6" s="223" t="s">
        <v>309</v>
      </c>
      <c r="Y6" s="175">
        <v>0</v>
      </c>
      <c r="Z6" s="175" t="s">
        <v>309</v>
      </c>
      <c r="AA6" s="175" t="e">
        <v>#DIV/0!</v>
      </c>
      <c r="AB6" s="175">
        <v>0</v>
      </c>
      <c r="AD6" s="182">
        <v>0</v>
      </c>
      <c r="AE6" s="183" t="s">
        <v>309</v>
      </c>
      <c r="AF6" s="184">
        <v>0</v>
      </c>
      <c r="AG6" s="135">
        <v>0</v>
      </c>
      <c r="AI6" s="28">
        <v>0</v>
      </c>
      <c r="AJ6" s="28" t="s">
        <v>309</v>
      </c>
      <c r="AK6" s="28" t="e">
        <v>#DIV/0!</v>
      </c>
      <c r="AL6" s="28">
        <v>0</v>
      </c>
      <c r="AN6" s="42">
        <v>2</v>
      </c>
      <c r="AO6" s="119" t="s">
        <v>309</v>
      </c>
      <c r="AP6" s="43">
        <v>830</v>
      </c>
      <c r="AQ6" s="34">
        <v>1660</v>
      </c>
      <c r="AS6" s="42"/>
      <c r="AT6" s="119" t="s">
        <v>309</v>
      </c>
      <c r="AU6" s="43" t="e">
        <v>#DIV/0!</v>
      </c>
      <c r="AV6" s="34"/>
      <c r="AX6" s="42"/>
      <c r="AY6" s="119" t="s">
        <v>309</v>
      </c>
      <c r="AZ6" s="43" t="e">
        <v>#DIV/0!</v>
      </c>
      <c r="BA6" s="34"/>
      <c r="BC6" s="42">
        <v>0</v>
      </c>
      <c r="BD6" s="119" t="s">
        <v>309</v>
      </c>
      <c r="BE6" s="43" t="e">
        <v>#DIV/0!</v>
      </c>
      <c r="BF6" s="42">
        <v>0</v>
      </c>
    </row>
    <row r="7" spans="1:58" ht="16.5">
      <c r="A7" s="2">
        <v>8</v>
      </c>
      <c r="B7" s="3" t="s">
        <v>28</v>
      </c>
      <c r="C7" s="2" t="s">
        <v>6</v>
      </c>
      <c r="D7" s="6" t="s">
        <v>37</v>
      </c>
      <c r="E7" s="42">
        <f aca="true" t="shared" si="1" ref="E7:E63">J7+O7+T7+Y7+AD7+AI7+AN7+AS7+AX7+BC7</f>
        <v>1</v>
      </c>
      <c r="F7" s="119" t="s">
        <v>307</v>
      </c>
      <c r="G7" s="43">
        <f t="shared" si="0"/>
        <v>657</v>
      </c>
      <c r="H7" s="34">
        <f aca="true" t="shared" si="2" ref="H7:H63">M7+R7+W7+AB7+AG7+AL7+AQ7+AV7+BA7+BF7</f>
        <v>657</v>
      </c>
      <c r="J7" s="195">
        <v>1</v>
      </c>
      <c r="K7" s="195" t="s">
        <v>307</v>
      </c>
      <c r="L7" s="195">
        <v>657</v>
      </c>
      <c r="M7" s="195">
        <v>657</v>
      </c>
      <c r="O7" s="28">
        <v>0</v>
      </c>
      <c r="P7" s="28" t="s">
        <v>307</v>
      </c>
      <c r="Q7" s="28" t="e">
        <v>#DIV/0!</v>
      </c>
      <c r="R7" s="28">
        <v>0</v>
      </c>
      <c r="T7" s="223">
        <v>0</v>
      </c>
      <c r="U7" s="223" t="s">
        <v>307</v>
      </c>
      <c r="Y7" s="175">
        <v>0</v>
      </c>
      <c r="Z7" s="175" t="s">
        <v>307</v>
      </c>
      <c r="AA7" s="175" t="e">
        <v>#DIV/0!</v>
      </c>
      <c r="AB7" s="175">
        <v>0</v>
      </c>
      <c r="AD7" s="185">
        <v>0</v>
      </c>
      <c r="AE7" s="186" t="s">
        <v>307</v>
      </c>
      <c r="AF7" s="187">
        <v>0</v>
      </c>
      <c r="AG7" s="50">
        <v>0</v>
      </c>
      <c r="AI7" s="28">
        <v>0</v>
      </c>
      <c r="AJ7" s="28" t="s">
        <v>307</v>
      </c>
      <c r="AK7" s="28" t="e">
        <v>#DIV/0!</v>
      </c>
      <c r="AL7" s="28">
        <v>0</v>
      </c>
      <c r="AN7" s="167"/>
      <c r="AO7" s="119" t="s">
        <v>307</v>
      </c>
      <c r="AP7" s="43" t="e">
        <v>#DIV/0!</v>
      </c>
      <c r="AQ7" s="34"/>
      <c r="AS7" s="167"/>
      <c r="AT7" s="119" t="s">
        <v>307</v>
      </c>
      <c r="AU7" s="43" t="e">
        <v>#DIV/0!</v>
      </c>
      <c r="AV7" s="34"/>
      <c r="AX7" s="167"/>
      <c r="AY7" s="119" t="s">
        <v>307</v>
      </c>
      <c r="AZ7" s="43" t="e">
        <v>#DIV/0!</v>
      </c>
      <c r="BA7" s="34"/>
      <c r="BC7" s="42">
        <v>0</v>
      </c>
      <c r="BD7" s="119" t="s">
        <v>307</v>
      </c>
      <c r="BE7" s="43" t="e">
        <v>#DIV/0!</v>
      </c>
      <c r="BF7" s="42">
        <v>0</v>
      </c>
    </row>
    <row r="8" spans="1:59" s="30" customFormat="1" ht="33">
      <c r="A8" s="2">
        <v>8</v>
      </c>
      <c r="B8" s="3" t="s">
        <v>28</v>
      </c>
      <c r="C8" s="2" t="s">
        <v>6</v>
      </c>
      <c r="D8" s="6" t="s">
        <v>38</v>
      </c>
      <c r="E8" s="42">
        <f t="shared" si="1"/>
        <v>98.65</v>
      </c>
      <c r="F8" s="119" t="s">
        <v>307</v>
      </c>
      <c r="G8" s="43">
        <f t="shared" si="0"/>
        <v>935.0505828687277</v>
      </c>
      <c r="H8" s="34">
        <f t="shared" si="2"/>
        <v>92242.73999999999</v>
      </c>
      <c r="I8" s="29"/>
      <c r="J8" s="195">
        <v>20.700000000000003</v>
      </c>
      <c r="K8" s="195" t="s">
        <v>307</v>
      </c>
      <c r="L8" s="195">
        <v>980.3009661835747</v>
      </c>
      <c r="M8" s="195">
        <v>20292.23</v>
      </c>
      <c r="N8" s="33"/>
      <c r="O8" s="30">
        <v>14</v>
      </c>
      <c r="P8" s="30" t="s">
        <v>307</v>
      </c>
      <c r="Q8" s="30">
        <v>948.452857142857</v>
      </c>
      <c r="R8" s="30">
        <v>13278.34</v>
      </c>
      <c r="S8" s="33"/>
      <c r="T8" s="223">
        <v>11</v>
      </c>
      <c r="U8" s="223" t="s">
        <v>307</v>
      </c>
      <c r="V8" s="223">
        <v>912.6281818181818</v>
      </c>
      <c r="W8" s="223">
        <v>10038.91</v>
      </c>
      <c r="X8" s="33"/>
      <c r="Y8" s="175">
        <v>20.75</v>
      </c>
      <c r="Z8" s="175" t="s">
        <v>307</v>
      </c>
      <c r="AA8" s="175">
        <v>890.2833734939758</v>
      </c>
      <c r="AB8" s="175">
        <v>18473.379999999997</v>
      </c>
      <c r="AC8" s="33"/>
      <c r="AD8" s="185">
        <v>14.5</v>
      </c>
      <c r="AE8" s="186" t="s">
        <v>307</v>
      </c>
      <c r="AF8" s="187">
        <v>910.7696551724138</v>
      </c>
      <c r="AG8" s="50">
        <v>13206.16</v>
      </c>
      <c r="AH8" s="33"/>
      <c r="AI8" s="30">
        <v>11.200000000000001</v>
      </c>
      <c r="AJ8" s="30" t="s">
        <v>307</v>
      </c>
      <c r="AK8" s="30">
        <v>961.124107142857</v>
      </c>
      <c r="AL8" s="30">
        <v>10764.59</v>
      </c>
      <c r="AM8" s="33"/>
      <c r="AN8" s="42">
        <v>1</v>
      </c>
      <c r="AO8" s="119" t="s">
        <v>307</v>
      </c>
      <c r="AP8" s="43">
        <v>920</v>
      </c>
      <c r="AQ8" s="34">
        <v>920</v>
      </c>
      <c r="AR8" s="33"/>
      <c r="AS8" s="42">
        <v>1</v>
      </c>
      <c r="AT8" s="119" t="s">
        <v>307</v>
      </c>
      <c r="AU8" s="43">
        <v>924</v>
      </c>
      <c r="AV8" s="34">
        <v>924</v>
      </c>
      <c r="AW8" s="33"/>
      <c r="AX8" s="42">
        <v>0.5</v>
      </c>
      <c r="AY8" s="119" t="s">
        <v>307</v>
      </c>
      <c r="AZ8" s="43">
        <v>1000</v>
      </c>
      <c r="BA8" s="34">
        <v>500</v>
      </c>
      <c r="BB8" s="33"/>
      <c r="BC8" s="42">
        <v>4</v>
      </c>
      <c r="BD8" s="119" t="s">
        <v>307</v>
      </c>
      <c r="BE8" s="43">
        <v>961.2825</v>
      </c>
      <c r="BF8" s="42">
        <v>3845.13</v>
      </c>
      <c r="BG8" s="33"/>
    </row>
    <row r="9" spans="1:58" ht="16.5">
      <c r="A9" s="4">
        <v>8</v>
      </c>
      <c r="B9" s="3" t="s">
        <v>28</v>
      </c>
      <c r="C9" s="4" t="s">
        <v>6</v>
      </c>
      <c r="D9" s="11" t="s">
        <v>78</v>
      </c>
      <c r="E9" s="42">
        <f t="shared" si="1"/>
        <v>6.5</v>
      </c>
      <c r="F9" s="125" t="s">
        <v>309</v>
      </c>
      <c r="G9" s="43">
        <f t="shared" si="0"/>
        <v>671.4615384615385</v>
      </c>
      <c r="H9" s="34">
        <f t="shared" si="2"/>
        <v>4364.5</v>
      </c>
      <c r="J9" s="195">
        <v>2.25</v>
      </c>
      <c r="K9" s="195" t="s">
        <v>309</v>
      </c>
      <c r="L9" s="195">
        <v>585</v>
      </c>
      <c r="M9" s="195">
        <v>1316.25</v>
      </c>
      <c r="O9" s="28">
        <v>0.5</v>
      </c>
      <c r="P9" s="28" t="s">
        <v>309</v>
      </c>
      <c r="Q9" s="28">
        <v>585</v>
      </c>
      <c r="R9" s="28">
        <v>292.5</v>
      </c>
      <c r="T9" s="223">
        <v>0</v>
      </c>
      <c r="U9" s="223" t="s">
        <v>309</v>
      </c>
      <c r="Y9" s="175">
        <v>1.25</v>
      </c>
      <c r="Z9" s="175" t="s">
        <v>309</v>
      </c>
      <c r="AA9" s="175">
        <v>748.6</v>
      </c>
      <c r="AB9" s="175">
        <v>935.75</v>
      </c>
      <c r="AD9" s="185">
        <v>2.5</v>
      </c>
      <c r="AE9" s="188" t="s">
        <v>309</v>
      </c>
      <c r="AF9" s="187">
        <v>728</v>
      </c>
      <c r="AG9" s="50">
        <v>1820</v>
      </c>
      <c r="AI9" s="28">
        <v>0</v>
      </c>
      <c r="AJ9" s="28" t="s">
        <v>309</v>
      </c>
      <c r="AK9" s="28" t="e">
        <v>#DIV/0!</v>
      </c>
      <c r="AL9" s="28">
        <v>0</v>
      </c>
      <c r="AN9" s="42"/>
      <c r="AO9" s="125" t="s">
        <v>309</v>
      </c>
      <c r="AP9" s="43" t="e">
        <v>#DIV/0!</v>
      </c>
      <c r="AQ9" s="34"/>
      <c r="AS9" s="42"/>
      <c r="AT9" s="125" t="s">
        <v>309</v>
      </c>
      <c r="AU9" s="43" t="e">
        <v>#DIV/0!</v>
      </c>
      <c r="AV9" s="34"/>
      <c r="AX9" s="42"/>
      <c r="AY9" s="125" t="s">
        <v>309</v>
      </c>
      <c r="AZ9" s="43" t="e">
        <v>#DIV/0!</v>
      </c>
      <c r="BA9" s="34"/>
      <c r="BC9" s="42">
        <v>0</v>
      </c>
      <c r="BD9" s="125" t="s">
        <v>309</v>
      </c>
      <c r="BE9" s="43" t="e">
        <v>#DIV/0!</v>
      </c>
      <c r="BF9" s="42">
        <v>0</v>
      </c>
    </row>
    <row r="10" spans="1:58" ht="16.5">
      <c r="A10" s="2">
        <v>8</v>
      </c>
      <c r="B10" s="3" t="s">
        <v>28</v>
      </c>
      <c r="C10" s="2" t="s">
        <v>6</v>
      </c>
      <c r="D10" s="6" t="s">
        <v>87</v>
      </c>
      <c r="E10" s="42">
        <f t="shared" si="1"/>
        <v>16.3</v>
      </c>
      <c r="F10" s="119" t="s">
        <v>307</v>
      </c>
      <c r="G10" s="43">
        <f t="shared" si="0"/>
        <v>907.3803680981595</v>
      </c>
      <c r="H10" s="34">
        <f t="shared" si="2"/>
        <v>14790.3</v>
      </c>
      <c r="J10" s="195">
        <v>6</v>
      </c>
      <c r="K10" s="195" t="s">
        <v>307</v>
      </c>
      <c r="L10" s="195">
        <v>948</v>
      </c>
      <c r="M10" s="195">
        <v>5688</v>
      </c>
      <c r="O10" s="28">
        <v>1.8</v>
      </c>
      <c r="P10" s="28" t="s">
        <v>307</v>
      </c>
      <c r="Q10" s="28">
        <v>919.1111111111111</v>
      </c>
      <c r="R10" s="28">
        <v>1654.4</v>
      </c>
      <c r="T10" s="223">
        <v>2</v>
      </c>
      <c r="U10" s="223" t="s">
        <v>307</v>
      </c>
      <c r="V10" s="223">
        <v>965</v>
      </c>
      <c r="W10" s="223">
        <v>1930</v>
      </c>
      <c r="Y10" s="175">
        <v>3</v>
      </c>
      <c r="Z10" s="175" t="s">
        <v>307</v>
      </c>
      <c r="AA10" s="175">
        <v>952.4666666666667</v>
      </c>
      <c r="AB10" s="175">
        <v>2857.4</v>
      </c>
      <c r="AD10" s="185">
        <v>3.5</v>
      </c>
      <c r="AE10" s="186" t="s">
        <v>307</v>
      </c>
      <c r="AF10" s="187">
        <v>760.1428571428571</v>
      </c>
      <c r="AG10" s="50">
        <v>2660.5</v>
      </c>
      <c r="AI10" s="28">
        <v>0</v>
      </c>
      <c r="AJ10" s="28" t="s">
        <v>307</v>
      </c>
      <c r="AK10" s="28" t="e">
        <v>#DIV/0!</v>
      </c>
      <c r="AL10" s="28">
        <v>0</v>
      </c>
      <c r="AN10" s="42"/>
      <c r="AO10" s="119" t="s">
        <v>307</v>
      </c>
      <c r="AP10" s="43" t="e">
        <v>#DIV/0!</v>
      </c>
      <c r="AQ10" s="34"/>
      <c r="AS10" s="42"/>
      <c r="AT10" s="119" t="s">
        <v>307</v>
      </c>
      <c r="AU10" s="43" t="e">
        <v>#DIV/0!</v>
      </c>
      <c r="AV10" s="34"/>
      <c r="AX10" s="42"/>
      <c r="AY10" s="119" t="s">
        <v>307</v>
      </c>
      <c r="AZ10" s="43" t="e">
        <v>#DIV/0!</v>
      </c>
      <c r="BA10" s="34"/>
      <c r="BC10" s="42">
        <v>0</v>
      </c>
      <c r="BD10" s="119" t="s">
        <v>307</v>
      </c>
      <c r="BE10" s="43" t="e">
        <v>#DIV/0!</v>
      </c>
      <c r="BF10" s="42">
        <v>0</v>
      </c>
    </row>
    <row r="11" spans="1:58" ht="16.5">
      <c r="A11" s="2">
        <v>6</v>
      </c>
      <c r="B11" s="3" t="s">
        <v>28</v>
      </c>
      <c r="C11" s="2" t="s">
        <v>30</v>
      </c>
      <c r="D11" s="6" t="s">
        <v>77</v>
      </c>
      <c r="E11" s="42">
        <f t="shared" si="1"/>
        <v>32.5</v>
      </c>
      <c r="F11" s="119" t="s">
        <v>308</v>
      </c>
      <c r="G11" s="43">
        <f t="shared" si="0"/>
        <v>760.0489230769231</v>
      </c>
      <c r="H11" s="34">
        <f t="shared" si="2"/>
        <v>24701.59</v>
      </c>
      <c r="J11" s="195">
        <v>9</v>
      </c>
      <c r="K11" s="195" t="s">
        <v>308</v>
      </c>
      <c r="L11" s="195">
        <v>779.7777777777778</v>
      </c>
      <c r="M11" s="195">
        <v>7018</v>
      </c>
      <c r="O11" s="28">
        <v>4</v>
      </c>
      <c r="P11" s="28" t="s">
        <v>308</v>
      </c>
      <c r="Q11" s="28">
        <v>765.9975</v>
      </c>
      <c r="R11" s="28">
        <v>3063.99</v>
      </c>
      <c r="T11" s="223">
        <v>5</v>
      </c>
      <c r="U11" s="223" t="s">
        <v>308</v>
      </c>
      <c r="V11" s="223">
        <v>716.7</v>
      </c>
      <c r="W11" s="223">
        <v>3583.5</v>
      </c>
      <c r="Y11" s="175">
        <v>6.5</v>
      </c>
      <c r="Z11" s="175" t="s">
        <v>308</v>
      </c>
      <c r="AA11" s="175">
        <v>744.6307692307693</v>
      </c>
      <c r="AB11" s="175">
        <v>4840.1</v>
      </c>
      <c r="AD11" s="185">
        <v>2.5</v>
      </c>
      <c r="AE11" s="186" t="s">
        <v>308</v>
      </c>
      <c r="AF11" s="187">
        <v>778</v>
      </c>
      <c r="AG11" s="50">
        <v>1945</v>
      </c>
      <c r="AI11" s="28">
        <v>4.5</v>
      </c>
      <c r="AJ11" s="28" t="s">
        <v>308</v>
      </c>
      <c r="AK11" s="28">
        <v>811.3333333333334</v>
      </c>
      <c r="AL11" s="28">
        <v>3651</v>
      </c>
      <c r="AN11" s="42"/>
      <c r="AO11" s="119" t="s">
        <v>308</v>
      </c>
      <c r="AP11" s="43" t="e">
        <v>#DIV/0!</v>
      </c>
      <c r="AQ11" s="34"/>
      <c r="AS11" s="42"/>
      <c r="AT11" s="119" t="s">
        <v>308</v>
      </c>
      <c r="AU11" s="43" t="e">
        <v>#DIV/0!</v>
      </c>
      <c r="AV11" s="34"/>
      <c r="AX11" s="42"/>
      <c r="AY11" s="119" t="s">
        <v>308</v>
      </c>
      <c r="AZ11" s="43" t="e">
        <v>#DIV/0!</v>
      </c>
      <c r="BA11" s="34"/>
      <c r="BC11" s="42">
        <v>1</v>
      </c>
      <c r="BD11" s="119" t="s">
        <v>308</v>
      </c>
      <c r="BE11" s="43">
        <v>600</v>
      </c>
      <c r="BF11" s="42">
        <v>600</v>
      </c>
    </row>
    <row r="12" spans="1:58" ht="16.5">
      <c r="A12" s="2"/>
      <c r="B12" s="3" t="s">
        <v>28</v>
      </c>
      <c r="C12" s="2" t="s">
        <v>6</v>
      </c>
      <c r="D12" s="6" t="s">
        <v>310</v>
      </c>
      <c r="E12" s="42">
        <f t="shared" si="1"/>
        <v>4.5</v>
      </c>
      <c r="F12" s="119" t="s">
        <v>307</v>
      </c>
      <c r="G12" s="43">
        <f t="shared" si="0"/>
        <v>933.4777777777776</v>
      </c>
      <c r="H12" s="34">
        <f t="shared" si="2"/>
        <v>4200.65</v>
      </c>
      <c r="J12" s="195">
        <v>2.5</v>
      </c>
      <c r="K12" s="195" t="s">
        <v>307</v>
      </c>
      <c r="L12" s="195">
        <v>1000</v>
      </c>
      <c r="M12" s="195">
        <v>2500</v>
      </c>
      <c r="O12" s="28">
        <v>0</v>
      </c>
      <c r="P12" s="28" t="s">
        <v>307</v>
      </c>
      <c r="Q12" s="28" t="e">
        <v>#DIV/0!</v>
      </c>
      <c r="R12" s="28">
        <v>0</v>
      </c>
      <c r="T12" s="223">
        <v>1</v>
      </c>
      <c r="U12" s="223" t="s">
        <v>307</v>
      </c>
      <c r="V12" s="223">
        <v>1010</v>
      </c>
      <c r="W12" s="223">
        <v>1010</v>
      </c>
      <c r="Y12" s="175">
        <v>0</v>
      </c>
      <c r="Z12" s="175" t="s">
        <v>307</v>
      </c>
      <c r="AA12" s="175" t="e">
        <v>#DIV/0!</v>
      </c>
      <c r="AB12" s="175">
        <v>0</v>
      </c>
      <c r="AD12" s="185">
        <v>0</v>
      </c>
      <c r="AE12" s="186" t="s">
        <v>307</v>
      </c>
      <c r="AF12" s="187">
        <v>0</v>
      </c>
      <c r="AG12" s="50">
        <v>0</v>
      </c>
      <c r="AI12" s="28">
        <v>1</v>
      </c>
      <c r="AJ12" s="28" t="s">
        <v>307</v>
      </c>
      <c r="AK12" s="28">
        <v>690.65</v>
      </c>
      <c r="AL12" s="28">
        <v>690.65</v>
      </c>
      <c r="AN12" s="42"/>
      <c r="AO12" s="119" t="s">
        <v>307</v>
      </c>
      <c r="AP12" s="43" t="e">
        <v>#DIV/0!</v>
      </c>
      <c r="AQ12" s="34"/>
      <c r="AS12" s="42"/>
      <c r="AT12" s="119" t="s">
        <v>307</v>
      </c>
      <c r="AU12" s="43" t="e">
        <v>#DIV/0!</v>
      </c>
      <c r="AV12" s="34"/>
      <c r="AX12" s="42"/>
      <c r="AY12" s="119" t="s">
        <v>307</v>
      </c>
      <c r="AZ12" s="43" t="e">
        <v>#DIV/0!</v>
      </c>
      <c r="BA12" s="34"/>
      <c r="BC12" s="42">
        <v>0</v>
      </c>
      <c r="BD12" s="119" t="s">
        <v>307</v>
      </c>
      <c r="BE12" s="43" t="e">
        <v>#DIV/0!</v>
      </c>
      <c r="BF12" s="42">
        <v>0</v>
      </c>
    </row>
    <row r="13" spans="1:58" ht="16.5">
      <c r="A13" s="2">
        <v>4</v>
      </c>
      <c r="B13" s="3" t="s">
        <v>31</v>
      </c>
      <c r="C13" s="2" t="s">
        <v>32</v>
      </c>
      <c r="D13" s="10" t="s">
        <v>43</v>
      </c>
      <c r="E13" s="42">
        <f t="shared" si="1"/>
        <v>431.08</v>
      </c>
      <c r="F13" s="125" t="s">
        <v>313</v>
      </c>
      <c r="G13" s="43">
        <f t="shared" si="0"/>
        <v>431.5363737589311</v>
      </c>
      <c r="H13" s="34">
        <f t="shared" si="2"/>
        <v>186026.7</v>
      </c>
      <c r="J13" s="195">
        <v>93</v>
      </c>
      <c r="K13" s="195" t="s">
        <v>313</v>
      </c>
      <c r="L13" s="195">
        <v>432.89247311827955</v>
      </c>
      <c r="M13" s="195">
        <v>40259</v>
      </c>
      <c r="O13" s="28">
        <v>58.3</v>
      </c>
      <c r="P13" s="28" t="s">
        <v>313</v>
      </c>
      <c r="Q13" s="28">
        <v>431.2058319039451</v>
      </c>
      <c r="R13" s="28">
        <v>25139.3</v>
      </c>
      <c r="T13" s="223">
        <v>47.459999999999994</v>
      </c>
      <c r="U13" s="223" t="s">
        <v>313</v>
      </c>
      <c r="V13" s="223">
        <v>430.0632111251581</v>
      </c>
      <c r="W13" s="223">
        <v>20410.8</v>
      </c>
      <c r="Y13" s="175">
        <v>86.32</v>
      </c>
      <c r="Z13" s="175" t="s">
        <v>313</v>
      </c>
      <c r="AA13" s="175">
        <v>430.52131603336426</v>
      </c>
      <c r="AB13" s="175">
        <v>37162.6</v>
      </c>
      <c r="AD13" s="185">
        <v>70</v>
      </c>
      <c r="AE13" s="188" t="s">
        <v>313</v>
      </c>
      <c r="AF13" s="187">
        <v>430</v>
      </c>
      <c r="AG13" s="50">
        <v>30100</v>
      </c>
      <c r="AI13" s="28">
        <v>51</v>
      </c>
      <c r="AJ13" s="28" t="s">
        <v>313</v>
      </c>
      <c r="AK13" s="28">
        <v>431.5686274509804</v>
      </c>
      <c r="AL13" s="28">
        <v>22010</v>
      </c>
      <c r="AN13" s="42">
        <v>6</v>
      </c>
      <c r="AO13" s="125" t="s">
        <v>313</v>
      </c>
      <c r="AP13" s="43">
        <v>435</v>
      </c>
      <c r="AQ13" s="34">
        <v>2610</v>
      </c>
      <c r="AS13" s="42"/>
      <c r="AT13" s="125" t="s">
        <v>313</v>
      </c>
      <c r="AU13" s="43" t="e">
        <v>#DIV/0!</v>
      </c>
      <c r="AV13" s="34"/>
      <c r="AX13" s="42"/>
      <c r="AY13" s="125" t="s">
        <v>313</v>
      </c>
      <c r="AZ13" s="43" t="e">
        <v>#DIV/0!</v>
      </c>
      <c r="BA13" s="34"/>
      <c r="BC13" s="42">
        <v>19</v>
      </c>
      <c r="BD13" s="125" t="s">
        <v>313</v>
      </c>
      <c r="BE13" s="43">
        <v>438.6842105263158</v>
      </c>
      <c r="BF13" s="42">
        <v>8335</v>
      </c>
    </row>
    <row r="14" spans="1:58" ht="16.5">
      <c r="A14" s="2"/>
      <c r="B14" s="3" t="s">
        <v>311</v>
      </c>
      <c r="C14" s="2" t="s">
        <v>30</v>
      </c>
      <c r="D14" s="10" t="s">
        <v>312</v>
      </c>
      <c r="E14" s="42">
        <f t="shared" si="1"/>
        <v>0</v>
      </c>
      <c r="F14" s="125" t="s">
        <v>309</v>
      </c>
      <c r="G14" s="43">
        <v>0</v>
      </c>
      <c r="H14" s="34">
        <f t="shared" si="2"/>
        <v>0</v>
      </c>
      <c r="J14" s="195">
        <v>0</v>
      </c>
      <c r="K14" s="195" t="s">
        <v>309</v>
      </c>
      <c r="L14" s="195" t="e">
        <v>#DIV/0!</v>
      </c>
      <c r="M14" s="195">
        <v>0</v>
      </c>
      <c r="O14" s="28">
        <v>0</v>
      </c>
      <c r="P14" s="28" t="s">
        <v>309</v>
      </c>
      <c r="Q14" s="28" t="e">
        <v>#DIV/0!</v>
      </c>
      <c r="R14" s="28">
        <v>0</v>
      </c>
      <c r="T14" s="223">
        <v>0</v>
      </c>
      <c r="U14" s="223" t="s">
        <v>309</v>
      </c>
      <c r="Y14" s="175">
        <v>0</v>
      </c>
      <c r="Z14" s="175" t="s">
        <v>309</v>
      </c>
      <c r="AA14" s="175" t="e">
        <v>#DIV/0!</v>
      </c>
      <c r="AB14" s="175">
        <v>0</v>
      </c>
      <c r="AD14" s="185">
        <v>0</v>
      </c>
      <c r="AE14" s="188" t="s">
        <v>309</v>
      </c>
      <c r="AF14" s="187">
        <v>0</v>
      </c>
      <c r="AG14" s="50">
        <v>0</v>
      </c>
      <c r="AI14" s="28">
        <v>0</v>
      </c>
      <c r="AJ14" s="28" t="s">
        <v>309</v>
      </c>
      <c r="AK14" s="28" t="e">
        <v>#DIV/0!</v>
      </c>
      <c r="AL14" s="28">
        <v>0</v>
      </c>
      <c r="AN14" s="42"/>
      <c r="AO14" s="125" t="s">
        <v>309</v>
      </c>
      <c r="AP14" s="43" t="e">
        <v>#DIV/0!</v>
      </c>
      <c r="AQ14" s="34"/>
      <c r="AS14" s="42"/>
      <c r="AT14" s="125" t="s">
        <v>309</v>
      </c>
      <c r="AU14" s="43" t="e">
        <v>#DIV/0!</v>
      </c>
      <c r="AV14" s="34"/>
      <c r="AX14" s="42"/>
      <c r="AY14" s="125" t="s">
        <v>309</v>
      </c>
      <c r="AZ14" s="43" t="e">
        <v>#DIV/0!</v>
      </c>
      <c r="BA14" s="34"/>
      <c r="BC14" s="42">
        <v>0</v>
      </c>
      <c r="BD14" s="125" t="s">
        <v>309</v>
      </c>
      <c r="BE14" s="43" t="e">
        <v>#DIV/0!</v>
      </c>
      <c r="BF14" s="42">
        <v>0</v>
      </c>
    </row>
    <row r="15" spans="1:58" ht="33">
      <c r="A15" s="5">
        <v>9</v>
      </c>
      <c r="B15" s="5" t="s">
        <v>24</v>
      </c>
      <c r="C15" s="5" t="s">
        <v>6</v>
      </c>
      <c r="D15" s="7" t="s">
        <v>25</v>
      </c>
      <c r="E15" s="42">
        <f t="shared" si="1"/>
        <v>14.95</v>
      </c>
      <c r="F15" s="125" t="s">
        <v>309</v>
      </c>
      <c r="G15" s="43">
        <f t="shared" si="0"/>
        <v>758.3598662207357</v>
      </c>
      <c r="H15" s="34">
        <f t="shared" si="2"/>
        <v>11337.48</v>
      </c>
      <c r="I15" s="39"/>
      <c r="J15" s="195">
        <v>0</v>
      </c>
      <c r="K15" s="195" t="s">
        <v>309</v>
      </c>
      <c r="L15" s="195" t="e">
        <v>#DIV/0!</v>
      </c>
      <c r="M15" s="195">
        <v>0</v>
      </c>
      <c r="O15" s="28">
        <v>2</v>
      </c>
      <c r="P15" s="28" t="s">
        <v>309</v>
      </c>
      <c r="Q15" s="28">
        <v>623.49</v>
      </c>
      <c r="R15" s="28">
        <v>1246.98</v>
      </c>
      <c r="T15" s="223">
        <v>0</v>
      </c>
      <c r="U15" s="223" t="s">
        <v>309</v>
      </c>
      <c r="Y15" s="175">
        <v>1</v>
      </c>
      <c r="Z15" s="175" t="s">
        <v>309</v>
      </c>
      <c r="AA15" s="175">
        <v>750</v>
      </c>
      <c r="AB15" s="175">
        <v>750</v>
      </c>
      <c r="AD15" s="185">
        <v>1.6</v>
      </c>
      <c r="AE15" s="188" t="s">
        <v>309</v>
      </c>
      <c r="AF15" s="187">
        <v>823.75</v>
      </c>
      <c r="AG15" s="50">
        <v>1318</v>
      </c>
      <c r="AI15" s="28">
        <v>1.5</v>
      </c>
      <c r="AJ15" s="28" t="s">
        <v>309</v>
      </c>
      <c r="AK15" s="28">
        <v>643.3333333333334</v>
      </c>
      <c r="AL15" s="28">
        <v>965</v>
      </c>
      <c r="AN15" s="42">
        <v>1</v>
      </c>
      <c r="AO15" s="125" t="s">
        <v>309</v>
      </c>
      <c r="AP15" s="43">
        <v>850</v>
      </c>
      <c r="AQ15" s="34">
        <v>850</v>
      </c>
      <c r="AS15" s="42">
        <v>1.5</v>
      </c>
      <c r="AT15" s="125" t="s">
        <v>309</v>
      </c>
      <c r="AU15" s="43">
        <v>740</v>
      </c>
      <c r="AV15" s="34">
        <v>1110</v>
      </c>
      <c r="AX15" s="42"/>
      <c r="AY15" s="125" t="s">
        <v>309</v>
      </c>
      <c r="AZ15" s="43" t="e">
        <v>#DIV/0!</v>
      </c>
      <c r="BA15" s="34"/>
      <c r="BC15" s="42">
        <v>6.35</v>
      </c>
      <c r="BD15" s="125" t="s">
        <v>309</v>
      </c>
      <c r="BE15" s="43">
        <v>802.7559055118111</v>
      </c>
      <c r="BF15" s="42">
        <v>5097.5</v>
      </c>
    </row>
    <row r="16" spans="1:58" ht="33">
      <c r="A16" s="4">
        <v>9</v>
      </c>
      <c r="B16" s="3" t="s">
        <v>24</v>
      </c>
      <c r="C16" s="4" t="s">
        <v>6</v>
      </c>
      <c r="D16" s="6" t="s">
        <v>41</v>
      </c>
      <c r="E16" s="42">
        <f t="shared" si="1"/>
        <v>2</v>
      </c>
      <c r="F16" s="119" t="s">
        <v>309</v>
      </c>
      <c r="G16" s="43">
        <f t="shared" si="0"/>
        <v>850</v>
      </c>
      <c r="H16" s="34">
        <f t="shared" si="2"/>
        <v>1700</v>
      </c>
      <c r="J16" s="195">
        <v>0</v>
      </c>
      <c r="K16" s="195" t="s">
        <v>309</v>
      </c>
      <c r="L16" s="195" t="e">
        <v>#DIV/0!</v>
      </c>
      <c r="M16" s="195">
        <v>0</v>
      </c>
      <c r="O16" s="28">
        <v>0</v>
      </c>
      <c r="P16" s="28" t="s">
        <v>309</v>
      </c>
      <c r="Q16" s="28" t="e">
        <v>#DIV/0!</v>
      </c>
      <c r="R16" s="28">
        <v>0</v>
      </c>
      <c r="T16" s="223">
        <v>0</v>
      </c>
      <c r="U16" s="223" t="s">
        <v>309</v>
      </c>
      <c r="Y16" s="175">
        <v>0</v>
      </c>
      <c r="Z16" s="175" t="s">
        <v>309</v>
      </c>
      <c r="AA16" s="175" t="e">
        <v>#DIV/0!</v>
      </c>
      <c r="AB16" s="175">
        <v>0</v>
      </c>
      <c r="AD16" s="185">
        <v>0</v>
      </c>
      <c r="AE16" s="186" t="s">
        <v>309</v>
      </c>
      <c r="AF16" s="187">
        <v>0</v>
      </c>
      <c r="AG16" s="50">
        <v>0</v>
      </c>
      <c r="AI16" s="28">
        <v>0</v>
      </c>
      <c r="AJ16" s="28" t="s">
        <v>309</v>
      </c>
      <c r="AK16" s="28" t="e">
        <v>#DIV/0!</v>
      </c>
      <c r="AL16" s="28">
        <v>0</v>
      </c>
      <c r="AN16" s="42"/>
      <c r="AO16" s="119" t="s">
        <v>309</v>
      </c>
      <c r="AP16" s="43" t="e">
        <v>#DIV/0!</v>
      </c>
      <c r="AQ16" s="34"/>
      <c r="AS16" s="42"/>
      <c r="AT16" s="119" t="s">
        <v>309</v>
      </c>
      <c r="AU16" s="43" t="e">
        <v>#DIV/0!</v>
      </c>
      <c r="AV16" s="34"/>
      <c r="AX16" s="42"/>
      <c r="AY16" s="119" t="s">
        <v>309</v>
      </c>
      <c r="AZ16" s="43" t="e">
        <v>#DIV/0!</v>
      </c>
      <c r="BA16" s="34"/>
      <c r="BC16" s="42">
        <v>2</v>
      </c>
      <c r="BD16" s="119" t="s">
        <v>309</v>
      </c>
      <c r="BE16" s="43">
        <v>850</v>
      </c>
      <c r="BF16" s="42">
        <v>1700</v>
      </c>
    </row>
    <row r="17" spans="1:58" ht="33">
      <c r="A17" s="4">
        <v>9</v>
      </c>
      <c r="B17" s="3" t="s">
        <v>24</v>
      </c>
      <c r="C17" s="4" t="s">
        <v>6</v>
      </c>
      <c r="D17" s="6" t="s">
        <v>44</v>
      </c>
      <c r="E17" s="42">
        <f t="shared" si="1"/>
        <v>2</v>
      </c>
      <c r="F17" s="119" t="s">
        <v>309</v>
      </c>
      <c r="G17" s="43">
        <f t="shared" si="0"/>
        <v>787.5</v>
      </c>
      <c r="H17" s="34">
        <f t="shared" si="2"/>
        <v>1575</v>
      </c>
      <c r="J17" s="195">
        <v>0</v>
      </c>
      <c r="K17" s="195" t="s">
        <v>309</v>
      </c>
      <c r="L17" s="195" t="e">
        <v>#DIV/0!</v>
      </c>
      <c r="M17" s="195">
        <v>0</v>
      </c>
      <c r="O17" s="28">
        <v>0</v>
      </c>
      <c r="P17" s="28" t="s">
        <v>309</v>
      </c>
      <c r="Q17" s="28" t="e">
        <v>#DIV/0!</v>
      </c>
      <c r="R17" s="28">
        <v>0</v>
      </c>
      <c r="T17" s="223">
        <v>0</v>
      </c>
      <c r="U17" s="223" t="s">
        <v>309</v>
      </c>
      <c r="Y17" s="175">
        <v>0</v>
      </c>
      <c r="Z17" s="175" t="s">
        <v>309</v>
      </c>
      <c r="AA17" s="175" t="e">
        <v>#DIV/0!</v>
      </c>
      <c r="AB17" s="175">
        <v>0</v>
      </c>
      <c r="AD17" s="185">
        <v>0</v>
      </c>
      <c r="AE17" s="186" t="s">
        <v>309</v>
      </c>
      <c r="AF17" s="187">
        <v>0</v>
      </c>
      <c r="AG17" s="50">
        <v>0</v>
      </c>
      <c r="AI17" s="28">
        <v>0.5</v>
      </c>
      <c r="AJ17" s="28" t="s">
        <v>309</v>
      </c>
      <c r="AK17" s="28">
        <v>600</v>
      </c>
      <c r="AL17" s="28">
        <v>300</v>
      </c>
      <c r="AN17" s="42"/>
      <c r="AO17" s="119" t="s">
        <v>309</v>
      </c>
      <c r="AP17" s="43" t="e">
        <v>#DIV/0!</v>
      </c>
      <c r="AQ17" s="34"/>
      <c r="AS17" s="42"/>
      <c r="AT17" s="119" t="s">
        <v>309</v>
      </c>
      <c r="AU17" s="43" t="e">
        <v>#DIV/0!</v>
      </c>
      <c r="AV17" s="34"/>
      <c r="AX17" s="42"/>
      <c r="AY17" s="119" t="s">
        <v>309</v>
      </c>
      <c r="AZ17" s="43" t="e">
        <v>#DIV/0!</v>
      </c>
      <c r="BA17" s="34"/>
      <c r="BC17" s="42">
        <v>1.5</v>
      </c>
      <c r="BD17" s="119" t="s">
        <v>309</v>
      </c>
      <c r="BE17" s="43">
        <v>850</v>
      </c>
      <c r="BF17" s="42">
        <v>1275</v>
      </c>
    </row>
    <row r="18" spans="1:58" ht="33">
      <c r="A18" s="4">
        <v>9</v>
      </c>
      <c r="B18" s="4" t="s">
        <v>24</v>
      </c>
      <c r="C18" s="4" t="s">
        <v>6</v>
      </c>
      <c r="D18" s="11" t="s">
        <v>76</v>
      </c>
      <c r="E18" s="42">
        <f t="shared" si="1"/>
        <v>0.5</v>
      </c>
      <c r="F18" s="119" t="s">
        <v>309</v>
      </c>
      <c r="G18" s="43">
        <f t="shared" si="0"/>
        <v>536</v>
      </c>
      <c r="H18" s="34">
        <f t="shared" si="2"/>
        <v>268</v>
      </c>
      <c r="J18" s="195">
        <v>0.5</v>
      </c>
      <c r="K18" s="195" t="s">
        <v>309</v>
      </c>
      <c r="L18" s="195">
        <v>536</v>
      </c>
      <c r="M18" s="195">
        <v>268</v>
      </c>
      <c r="O18" s="28">
        <v>0</v>
      </c>
      <c r="P18" s="28" t="s">
        <v>309</v>
      </c>
      <c r="Q18" s="28" t="e">
        <v>#DIV/0!</v>
      </c>
      <c r="R18" s="28">
        <v>0</v>
      </c>
      <c r="T18" s="223">
        <v>0</v>
      </c>
      <c r="U18" s="223" t="s">
        <v>309</v>
      </c>
      <c r="Y18" s="175">
        <v>0</v>
      </c>
      <c r="Z18" s="175" t="s">
        <v>309</v>
      </c>
      <c r="AA18" s="175" t="e">
        <v>#DIV/0!</v>
      </c>
      <c r="AB18" s="175">
        <v>0</v>
      </c>
      <c r="AD18" s="185">
        <v>0</v>
      </c>
      <c r="AE18" s="186" t="s">
        <v>309</v>
      </c>
      <c r="AF18" s="187">
        <v>0</v>
      </c>
      <c r="AG18" s="50">
        <v>0</v>
      </c>
      <c r="AI18" s="28">
        <v>0</v>
      </c>
      <c r="AJ18" s="28" t="s">
        <v>309</v>
      </c>
      <c r="AK18" s="28" t="e">
        <v>#DIV/0!</v>
      </c>
      <c r="AL18" s="28">
        <v>0</v>
      </c>
      <c r="AN18" s="42"/>
      <c r="AO18" s="119" t="s">
        <v>309</v>
      </c>
      <c r="AP18" s="43" t="e">
        <v>#DIV/0!</v>
      </c>
      <c r="AQ18" s="34"/>
      <c r="AS18" s="42"/>
      <c r="AT18" s="119" t="s">
        <v>309</v>
      </c>
      <c r="AU18" s="43" t="e">
        <v>#DIV/0!</v>
      </c>
      <c r="AV18" s="34"/>
      <c r="AX18" s="42"/>
      <c r="AY18" s="119" t="s">
        <v>309</v>
      </c>
      <c r="AZ18" s="43" t="e">
        <v>#DIV/0!</v>
      </c>
      <c r="BA18" s="34"/>
      <c r="BC18" s="42">
        <v>0</v>
      </c>
      <c r="BD18" s="119" t="s">
        <v>309</v>
      </c>
      <c r="BE18" s="43" t="e">
        <v>#DIV/0!</v>
      </c>
      <c r="BF18" s="42">
        <v>0</v>
      </c>
    </row>
    <row r="19" spans="1:58" ht="16.5">
      <c r="A19" s="5">
        <v>7</v>
      </c>
      <c r="B19" s="5" t="s">
        <v>11</v>
      </c>
      <c r="C19" s="5" t="s">
        <v>4</v>
      </c>
      <c r="D19" s="7" t="s">
        <v>18</v>
      </c>
      <c r="E19" s="42">
        <f t="shared" si="1"/>
        <v>0</v>
      </c>
      <c r="F19" s="125" t="s">
        <v>315</v>
      </c>
      <c r="G19" s="43">
        <v>0</v>
      </c>
      <c r="H19" s="34">
        <f t="shared" si="2"/>
        <v>0</v>
      </c>
      <c r="J19" s="195">
        <v>0</v>
      </c>
      <c r="K19" s="195" t="s">
        <v>315</v>
      </c>
      <c r="L19" s="195" t="e">
        <v>#DIV/0!</v>
      </c>
      <c r="M19" s="195">
        <v>0</v>
      </c>
      <c r="O19" s="28">
        <v>0</v>
      </c>
      <c r="P19" s="28" t="s">
        <v>315</v>
      </c>
      <c r="Q19" s="28" t="e">
        <v>#DIV/0!</v>
      </c>
      <c r="R19" s="28">
        <v>0</v>
      </c>
      <c r="T19" s="223">
        <v>0</v>
      </c>
      <c r="U19" s="223" t="s">
        <v>315</v>
      </c>
      <c r="Y19" s="175">
        <v>0</v>
      </c>
      <c r="Z19" s="175" t="s">
        <v>315</v>
      </c>
      <c r="AA19" s="175" t="e">
        <v>#DIV/0!</v>
      </c>
      <c r="AB19" s="175">
        <v>0</v>
      </c>
      <c r="AD19" s="185">
        <v>0</v>
      </c>
      <c r="AE19" s="188" t="s">
        <v>315</v>
      </c>
      <c r="AF19" s="187">
        <v>0</v>
      </c>
      <c r="AG19" s="50">
        <v>0</v>
      </c>
      <c r="AI19" s="28">
        <v>0</v>
      </c>
      <c r="AJ19" s="28" t="s">
        <v>315</v>
      </c>
      <c r="AK19" s="28" t="e">
        <v>#DIV/0!</v>
      </c>
      <c r="AL19" s="28">
        <v>0</v>
      </c>
      <c r="AN19" s="42"/>
      <c r="AO19" s="125" t="s">
        <v>315</v>
      </c>
      <c r="AP19" s="43" t="e">
        <v>#DIV/0!</v>
      </c>
      <c r="AQ19" s="34"/>
      <c r="AS19" s="42"/>
      <c r="AT19" s="125" t="s">
        <v>315</v>
      </c>
      <c r="AU19" s="43" t="e">
        <v>#DIV/0!</v>
      </c>
      <c r="AV19" s="34"/>
      <c r="AX19" s="42"/>
      <c r="AY19" s="125" t="s">
        <v>315</v>
      </c>
      <c r="AZ19" s="43" t="e">
        <v>#DIV/0!</v>
      </c>
      <c r="BA19" s="34"/>
      <c r="BC19" s="42">
        <v>0</v>
      </c>
      <c r="BD19" s="125" t="s">
        <v>315</v>
      </c>
      <c r="BE19" s="43" t="e">
        <v>#DIV/0!</v>
      </c>
      <c r="BF19" s="42">
        <v>0</v>
      </c>
    </row>
    <row r="20" spans="1:58" ht="16.5">
      <c r="A20" s="4">
        <v>7</v>
      </c>
      <c r="B20" s="3" t="s">
        <v>11</v>
      </c>
      <c r="C20" s="4" t="s">
        <v>4</v>
      </c>
      <c r="D20" s="6" t="s">
        <v>63</v>
      </c>
      <c r="E20" s="42">
        <f t="shared" si="1"/>
        <v>159.15</v>
      </c>
      <c r="F20" s="119" t="s">
        <v>315</v>
      </c>
      <c r="G20" s="43">
        <f t="shared" si="0"/>
        <v>593.8998429154885</v>
      </c>
      <c r="H20" s="34">
        <f t="shared" si="2"/>
        <v>94519.16</v>
      </c>
      <c r="J20" s="195">
        <v>35.5</v>
      </c>
      <c r="K20" s="195" t="s">
        <v>315</v>
      </c>
      <c r="L20" s="195">
        <v>600.5676056338028</v>
      </c>
      <c r="M20" s="195">
        <v>21320.15</v>
      </c>
      <c r="O20" s="28">
        <v>23</v>
      </c>
      <c r="P20" s="28" t="s">
        <v>315</v>
      </c>
      <c r="Q20" s="28">
        <v>564.0404347826087</v>
      </c>
      <c r="R20" s="28">
        <v>12972.93</v>
      </c>
      <c r="T20" s="223">
        <f>17.4+0.5</f>
        <v>17.9</v>
      </c>
      <c r="U20" s="223" t="s">
        <v>315</v>
      </c>
      <c r="V20" s="223">
        <v>588.5902298850576</v>
      </c>
      <c r="W20" s="223">
        <f>10241.47+274</f>
        <v>10515.47</v>
      </c>
      <c r="Y20" s="175">
        <v>30.2</v>
      </c>
      <c r="Z20" s="175" t="s">
        <v>315</v>
      </c>
      <c r="AA20" s="175">
        <v>590.4354304635763</v>
      </c>
      <c r="AB20" s="175">
        <v>17831.15</v>
      </c>
      <c r="AD20" s="185">
        <v>21.2</v>
      </c>
      <c r="AE20" s="186" t="s">
        <v>315</v>
      </c>
      <c r="AF20" s="187">
        <v>619.8962264150944</v>
      </c>
      <c r="AG20" s="50">
        <v>13141.8</v>
      </c>
      <c r="AI20" s="28">
        <v>17.5</v>
      </c>
      <c r="AJ20" s="28" t="s">
        <v>315</v>
      </c>
      <c r="AK20" s="28">
        <v>551.2468571428572</v>
      </c>
      <c r="AL20" s="28">
        <v>9646.82</v>
      </c>
      <c r="AN20" s="42">
        <v>1.5</v>
      </c>
      <c r="AO20" s="119" t="s">
        <v>315</v>
      </c>
      <c r="AP20" s="43">
        <v>700</v>
      </c>
      <c r="AQ20" s="34">
        <v>1050</v>
      </c>
      <c r="AS20" s="42">
        <v>1.75</v>
      </c>
      <c r="AT20" s="119" t="s">
        <v>315</v>
      </c>
      <c r="AU20" s="43">
        <v>600</v>
      </c>
      <c r="AV20" s="34">
        <v>1050</v>
      </c>
      <c r="AX20" s="42"/>
      <c r="AY20" s="119" t="s">
        <v>315</v>
      </c>
      <c r="AZ20" s="43" t="e">
        <v>#DIV/0!</v>
      </c>
      <c r="BA20" s="34"/>
      <c r="BC20" s="42">
        <v>10.6</v>
      </c>
      <c r="BD20" s="119" t="s">
        <v>315</v>
      </c>
      <c r="BE20" s="43">
        <v>659.5132075471698</v>
      </c>
      <c r="BF20" s="42">
        <v>6990.84</v>
      </c>
    </row>
    <row r="21" spans="1:58" ht="16.5">
      <c r="A21" s="4">
        <v>5</v>
      </c>
      <c r="B21" s="3" t="s">
        <v>11</v>
      </c>
      <c r="C21" s="4" t="s">
        <v>32</v>
      </c>
      <c r="D21" s="6" t="s">
        <v>61</v>
      </c>
      <c r="E21" s="42">
        <f t="shared" si="1"/>
        <v>9.25</v>
      </c>
      <c r="F21" s="124" t="s">
        <v>314</v>
      </c>
      <c r="G21" s="43">
        <f t="shared" si="0"/>
        <v>495.4054054054054</v>
      </c>
      <c r="H21" s="34">
        <f t="shared" si="2"/>
        <v>4582.5</v>
      </c>
      <c r="J21" s="195">
        <v>1</v>
      </c>
      <c r="K21" s="195" t="s">
        <v>314</v>
      </c>
      <c r="L21" s="195">
        <v>430</v>
      </c>
      <c r="M21" s="195">
        <v>430</v>
      </c>
      <c r="O21" s="28">
        <v>0</v>
      </c>
      <c r="P21" s="28" t="s">
        <v>314</v>
      </c>
      <c r="Q21" s="28" t="e">
        <v>#DIV/0!</v>
      </c>
      <c r="R21" s="28">
        <v>0</v>
      </c>
      <c r="T21" s="223">
        <v>0</v>
      </c>
      <c r="U21" s="223" t="s">
        <v>314</v>
      </c>
      <c r="Y21" s="175">
        <v>0</v>
      </c>
      <c r="Z21" s="175" t="s">
        <v>314</v>
      </c>
      <c r="AA21" s="175" t="e">
        <v>#DIV/0!</v>
      </c>
      <c r="AB21" s="175">
        <v>0</v>
      </c>
      <c r="AD21" s="185">
        <v>0</v>
      </c>
      <c r="AE21" s="189" t="s">
        <v>314</v>
      </c>
      <c r="AF21" s="187">
        <v>0</v>
      </c>
      <c r="AG21" s="50">
        <v>0</v>
      </c>
      <c r="AI21" s="28">
        <v>4.5</v>
      </c>
      <c r="AJ21" s="28" t="s">
        <v>314</v>
      </c>
      <c r="AK21" s="28">
        <v>434.77777777777777</v>
      </c>
      <c r="AL21" s="28">
        <v>1956.5</v>
      </c>
      <c r="AN21" s="42"/>
      <c r="AO21" s="124" t="s">
        <v>314</v>
      </c>
      <c r="AP21" s="43" t="e">
        <v>#DIV/0!</v>
      </c>
      <c r="AQ21" s="34"/>
      <c r="AS21" s="42">
        <v>0.75</v>
      </c>
      <c r="AT21" s="124" t="s">
        <v>314</v>
      </c>
      <c r="AU21" s="43">
        <v>528</v>
      </c>
      <c r="AV21" s="34">
        <v>396</v>
      </c>
      <c r="AX21" s="42"/>
      <c r="AY21" s="124" t="s">
        <v>314</v>
      </c>
      <c r="AZ21" s="43" t="e">
        <v>#DIV/0!</v>
      </c>
      <c r="BA21" s="34"/>
      <c r="BC21" s="42">
        <v>3</v>
      </c>
      <c r="BD21" s="124" t="s">
        <v>314</v>
      </c>
      <c r="BE21" s="43">
        <v>600</v>
      </c>
      <c r="BF21" s="42">
        <v>1800</v>
      </c>
    </row>
    <row r="22" spans="1:58" ht="16.5">
      <c r="A22" s="8">
        <v>8</v>
      </c>
      <c r="B22" s="8" t="s">
        <v>26</v>
      </c>
      <c r="C22" s="8" t="s">
        <v>4</v>
      </c>
      <c r="D22" s="6" t="s">
        <v>34</v>
      </c>
      <c r="E22" s="42">
        <f t="shared" si="1"/>
        <v>4.75</v>
      </c>
      <c r="F22" s="119" t="s">
        <v>309</v>
      </c>
      <c r="G22" s="43">
        <f t="shared" si="0"/>
        <v>690.5305263157894</v>
      </c>
      <c r="H22" s="34">
        <f t="shared" si="2"/>
        <v>3280.02</v>
      </c>
      <c r="J22" s="195">
        <v>0.75</v>
      </c>
      <c r="K22" s="195" t="s">
        <v>309</v>
      </c>
      <c r="L22" s="195">
        <v>745</v>
      </c>
      <c r="M22" s="195">
        <v>558.75</v>
      </c>
      <c r="O22" s="28">
        <v>0.5</v>
      </c>
      <c r="P22" s="28" t="s">
        <v>309</v>
      </c>
      <c r="Q22" s="28">
        <v>560</v>
      </c>
      <c r="R22" s="28">
        <v>280</v>
      </c>
      <c r="T22" s="223">
        <v>0</v>
      </c>
      <c r="U22" s="223" t="s">
        <v>309</v>
      </c>
      <c r="Y22" s="175">
        <v>2.6</v>
      </c>
      <c r="Z22" s="175" t="s">
        <v>309</v>
      </c>
      <c r="AA22" s="175">
        <v>722.7884615384615</v>
      </c>
      <c r="AB22" s="175">
        <v>1879.25</v>
      </c>
      <c r="AD22" s="185">
        <v>0.5</v>
      </c>
      <c r="AE22" s="186" t="s">
        <v>309</v>
      </c>
      <c r="AF22" s="187">
        <v>664</v>
      </c>
      <c r="AG22" s="50">
        <v>332</v>
      </c>
      <c r="AI22" s="28">
        <v>0</v>
      </c>
      <c r="AJ22" s="28" t="s">
        <v>309</v>
      </c>
      <c r="AK22" s="28" t="e">
        <v>#DIV/0!</v>
      </c>
      <c r="AL22" s="28">
        <v>0</v>
      </c>
      <c r="AN22" s="42"/>
      <c r="AO22" s="119" t="s">
        <v>309</v>
      </c>
      <c r="AP22" s="43" t="e">
        <v>#DIV/0!</v>
      </c>
      <c r="AQ22" s="34"/>
      <c r="AS22" s="42"/>
      <c r="AT22" s="119" t="s">
        <v>309</v>
      </c>
      <c r="AU22" s="43" t="e">
        <v>#DIV/0!</v>
      </c>
      <c r="AV22" s="34"/>
      <c r="AX22" s="42"/>
      <c r="AY22" s="119" t="s">
        <v>309</v>
      </c>
      <c r="AZ22" s="43" t="e">
        <v>#DIV/0!</v>
      </c>
      <c r="BA22" s="34"/>
      <c r="BC22" s="42">
        <v>0.4</v>
      </c>
      <c r="BD22" s="119" t="s">
        <v>309</v>
      </c>
      <c r="BE22" s="43">
        <v>575.05</v>
      </c>
      <c r="BF22" s="42">
        <v>230.02</v>
      </c>
    </row>
    <row r="23" spans="1:58" ht="16.5">
      <c r="A23" s="4" t="s">
        <v>107</v>
      </c>
      <c r="B23" s="3" t="s">
        <v>3</v>
      </c>
      <c r="C23" s="4" t="s">
        <v>46</v>
      </c>
      <c r="D23" s="6" t="s">
        <v>13</v>
      </c>
      <c r="E23" s="42">
        <f t="shared" si="1"/>
        <v>1127.45</v>
      </c>
      <c r="F23" s="125" t="s">
        <v>313</v>
      </c>
      <c r="G23" s="43">
        <f t="shared" si="0"/>
        <v>432.37034901769476</v>
      </c>
      <c r="H23" s="34">
        <f t="shared" si="2"/>
        <v>487475.95</v>
      </c>
      <c r="I23" s="35"/>
      <c r="J23" s="195">
        <v>268.89</v>
      </c>
      <c r="K23" s="195" t="s">
        <v>313</v>
      </c>
      <c r="L23" s="195">
        <v>434.3660976607535</v>
      </c>
      <c r="M23" s="195">
        <v>116796.7</v>
      </c>
      <c r="O23" s="28">
        <f>150.35+2</f>
        <v>152.35</v>
      </c>
      <c r="P23" s="28" t="s">
        <v>313</v>
      </c>
      <c r="Q23" s="28">
        <v>430.02660458929165</v>
      </c>
      <c r="R23" s="28">
        <f>64654.5+860</f>
        <v>65514.5</v>
      </c>
      <c r="T23" s="223">
        <f>102.48+0.22</f>
        <v>102.7</v>
      </c>
      <c r="U23" s="223" t="s">
        <v>313</v>
      </c>
      <c r="V23" s="223">
        <v>430.58548009367684</v>
      </c>
      <c r="W23" s="223">
        <f>44126.4+94.6</f>
        <v>44221</v>
      </c>
      <c r="Y23" s="175">
        <f>230.85+0.5</f>
        <v>231.35</v>
      </c>
      <c r="Z23" s="175" t="s">
        <v>313</v>
      </c>
      <c r="AA23" s="175">
        <v>432.6212259042668</v>
      </c>
      <c r="AB23" s="175">
        <f>99870.61+215</f>
        <v>100085.61</v>
      </c>
      <c r="AD23" s="185">
        <f>194.45+1</f>
        <v>195.45</v>
      </c>
      <c r="AE23" s="188" t="s">
        <v>313</v>
      </c>
      <c r="AF23" s="187">
        <v>431.13396760092564</v>
      </c>
      <c r="AG23" s="50">
        <f>83834+460</f>
        <v>84294</v>
      </c>
      <c r="AI23" s="28">
        <v>133.21</v>
      </c>
      <c r="AJ23" s="28" t="s">
        <v>313</v>
      </c>
      <c r="AK23" s="28">
        <v>430.40417386082123</v>
      </c>
      <c r="AL23" s="28">
        <v>57334.14</v>
      </c>
      <c r="AN23" s="42">
        <v>8.5</v>
      </c>
      <c r="AO23" s="125" t="s">
        <v>313</v>
      </c>
      <c r="AP23" s="43">
        <v>460</v>
      </c>
      <c r="AQ23" s="34">
        <v>3910</v>
      </c>
      <c r="AS23" s="42">
        <v>4.5</v>
      </c>
      <c r="AT23" s="125" t="s">
        <v>313</v>
      </c>
      <c r="AU23" s="43">
        <v>450</v>
      </c>
      <c r="AV23" s="34">
        <v>2025</v>
      </c>
      <c r="AX23" s="42">
        <v>1</v>
      </c>
      <c r="AY23" s="125" t="s">
        <v>313</v>
      </c>
      <c r="AZ23" s="43">
        <v>430</v>
      </c>
      <c r="BA23" s="34">
        <v>430</v>
      </c>
      <c r="BC23" s="42">
        <v>29.5</v>
      </c>
      <c r="BD23" s="125" t="s">
        <v>313</v>
      </c>
      <c r="BE23" s="43">
        <v>436.10169491525426</v>
      </c>
      <c r="BF23" s="42">
        <v>12865</v>
      </c>
    </row>
    <row r="24" spans="1:59" s="37" customFormat="1" ht="17.25" customHeight="1">
      <c r="A24" s="2">
        <v>7</v>
      </c>
      <c r="B24" s="3" t="s">
        <v>3</v>
      </c>
      <c r="C24" s="2" t="s">
        <v>48</v>
      </c>
      <c r="D24" s="6" t="s">
        <v>54</v>
      </c>
      <c r="E24" s="42">
        <f t="shared" si="1"/>
        <v>4.7</v>
      </c>
      <c r="F24" s="119" t="s">
        <v>315</v>
      </c>
      <c r="G24" s="43">
        <f t="shared" si="0"/>
        <v>581.3510638297872</v>
      </c>
      <c r="H24" s="34">
        <f t="shared" si="2"/>
        <v>2732.35</v>
      </c>
      <c r="I24" s="29"/>
      <c r="J24" s="198">
        <v>0</v>
      </c>
      <c r="K24" s="198" t="s">
        <v>315</v>
      </c>
      <c r="L24" s="198" t="e">
        <v>#DIV/0!</v>
      </c>
      <c r="M24" s="198">
        <v>0</v>
      </c>
      <c r="N24" s="78"/>
      <c r="O24" s="37">
        <v>1</v>
      </c>
      <c r="P24" s="37" t="s">
        <v>315</v>
      </c>
      <c r="Q24" s="37">
        <v>535.35</v>
      </c>
      <c r="R24" s="37">
        <v>535.35</v>
      </c>
      <c r="S24" s="78"/>
      <c r="T24" s="226">
        <v>0</v>
      </c>
      <c r="U24" s="226" t="s">
        <v>315</v>
      </c>
      <c r="V24" s="226"/>
      <c r="W24" s="226"/>
      <c r="X24" s="78"/>
      <c r="Y24" s="178">
        <v>1.7</v>
      </c>
      <c r="Z24" s="178" t="s">
        <v>315</v>
      </c>
      <c r="AA24" s="178">
        <v>556.4705882352941</v>
      </c>
      <c r="AB24" s="178">
        <v>946</v>
      </c>
      <c r="AC24" s="78"/>
      <c r="AD24" s="185">
        <v>0</v>
      </c>
      <c r="AE24" s="186" t="s">
        <v>315</v>
      </c>
      <c r="AF24" s="187">
        <v>0</v>
      </c>
      <c r="AG24" s="50">
        <v>0</v>
      </c>
      <c r="AH24" s="78"/>
      <c r="AI24" s="37">
        <v>1</v>
      </c>
      <c r="AJ24" s="37" t="s">
        <v>315</v>
      </c>
      <c r="AK24" s="37">
        <v>703</v>
      </c>
      <c r="AL24" s="37">
        <v>703</v>
      </c>
      <c r="AM24" s="78"/>
      <c r="AN24" s="42">
        <v>1</v>
      </c>
      <c r="AO24" s="119" t="s">
        <v>315</v>
      </c>
      <c r="AP24" s="43">
        <v>548</v>
      </c>
      <c r="AQ24" s="34">
        <v>548</v>
      </c>
      <c r="AR24" s="78"/>
      <c r="AS24" s="42"/>
      <c r="AT24" s="119" t="s">
        <v>315</v>
      </c>
      <c r="AU24" s="43" t="e">
        <v>#DIV/0!</v>
      </c>
      <c r="AV24" s="34"/>
      <c r="AW24" s="78"/>
      <c r="AX24" s="42"/>
      <c r="AY24" s="119" t="s">
        <v>315</v>
      </c>
      <c r="AZ24" s="43" t="e">
        <v>#DIV/0!</v>
      </c>
      <c r="BA24" s="34"/>
      <c r="BB24" s="78"/>
      <c r="BC24" s="42">
        <v>0</v>
      </c>
      <c r="BD24" s="119" t="s">
        <v>315</v>
      </c>
      <c r="BE24" s="43" t="e">
        <v>#DIV/0!</v>
      </c>
      <c r="BF24" s="42">
        <v>0</v>
      </c>
      <c r="BG24" s="78"/>
    </row>
    <row r="25" spans="1:59" s="37" customFormat="1" ht="18" customHeight="1">
      <c r="A25" s="2">
        <v>7</v>
      </c>
      <c r="B25" s="3" t="s">
        <v>3</v>
      </c>
      <c r="C25" s="2" t="s">
        <v>48</v>
      </c>
      <c r="D25" s="6" t="s">
        <v>90</v>
      </c>
      <c r="E25" s="42">
        <f t="shared" si="1"/>
        <v>7</v>
      </c>
      <c r="F25" s="124" t="s">
        <v>314</v>
      </c>
      <c r="G25" s="43">
        <f t="shared" si="0"/>
        <v>564.7342857142856</v>
      </c>
      <c r="H25" s="34">
        <f t="shared" si="2"/>
        <v>3953.14</v>
      </c>
      <c r="I25" s="29"/>
      <c r="J25" s="198">
        <v>0</v>
      </c>
      <c r="K25" s="198" t="s">
        <v>314</v>
      </c>
      <c r="L25" s="198" t="e">
        <v>#DIV/0!</v>
      </c>
      <c r="M25" s="198">
        <v>0</v>
      </c>
      <c r="N25" s="78"/>
      <c r="O25" s="37">
        <v>0</v>
      </c>
      <c r="P25" s="37" t="s">
        <v>314</v>
      </c>
      <c r="Q25" s="37" t="e">
        <v>#DIV/0!</v>
      </c>
      <c r="R25" s="37">
        <v>0</v>
      </c>
      <c r="S25" s="78"/>
      <c r="T25" s="226">
        <v>0</v>
      </c>
      <c r="U25" s="226" t="s">
        <v>314</v>
      </c>
      <c r="V25" s="226"/>
      <c r="W25" s="226"/>
      <c r="X25" s="78"/>
      <c r="Y25" s="178">
        <v>0</v>
      </c>
      <c r="Z25" s="178" t="s">
        <v>314</v>
      </c>
      <c r="AA25" s="178" t="e">
        <v>#DIV/0!</v>
      </c>
      <c r="AB25" s="178">
        <v>0</v>
      </c>
      <c r="AC25" s="78"/>
      <c r="AD25" s="185">
        <v>2</v>
      </c>
      <c r="AE25" s="189" t="s">
        <v>314</v>
      </c>
      <c r="AF25" s="187">
        <v>500</v>
      </c>
      <c r="AG25" s="50">
        <v>1000</v>
      </c>
      <c r="AH25" s="78"/>
      <c r="AI25" s="37">
        <v>0</v>
      </c>
      <c r="AJ25" s="37" t="s">
        <v>314</v>
      </c>
      <c r="AK25" s="37" t="e">
        <v>#DIV/0!</v>
      </c>
      <c r="AL25" s="37">
        <v>0</v>
      </c>
      <c r="AM25" s="78"/>
      <c r="AN25" s="42">
        <v>1</v>
      </c>
      <c r="AO25" s="124" t="s">
        <v>314</v>
      </c>
      <c r="AP25" s="43">
        <v>610</v>
      </c>
      <c r="AQ25" s="34">
        <v>610</v>
      </c>
      <c r="AR25" s="78"/>
      <c r="AS25" s="42"/>
      <c r="AT25" s="124" t="s">
        <v>314</v>
      </c>
      <c r="AU25" s="43" t="e">
        <v>#DIV/0!</v>
      </c>
      <c r="AV25" s="34"/>
      <c r="AW25" s="78"/>
      <c r="AX25" s="42"/>
      <c r="AY25" s="124" t="s">
        <v>314</v>
      </c>
      <c r="AZ25" s="43" t="e">
        <v>#DIV/0!</v>
      </c>
      <c r="BA25" s="34"/>
      <c r="BB25" s="78"/>
      <c r="BC25" s="42">
        <v>4</v>
      </c>
      <c r="BD25" s="124" t="s">
        <v>314</v>
      </c>
      <c r="BE25" s="43">
        <v>585.785</v>
      </c>
      <c r="BF25" s="42">
        <v>2343.14</v>
      </c>
      <c r="BG25" s="78"/>
    </row>
    <row r="26" spans="1:59" s="37" customFormat="1" ht="17.25">
      <c r="A26" s="4">
        <v>5</v>
      </c>
      <c r="B26" s="3" t="s">
        <v>3</v>
      </c>
      <c r="C26" s="4" t="s">
        <v>64</v>
      </c>
      <c r="D26" s="6" t="s">
        <v>71</v>
      </c>
      <c r="E26" s="42">
        <f t="shared" si="1"/>
        <v>0.7</v>
      </c>
      <c r="F26" s="124" t="s">
        <v>314</v>
      </c>
      <c r="G26" s="43">
        <f t="shared" si="0"/>
        <v>506.78571428571433</v>
      </c>
      <c r="H26" s="34">
        <f t="shared" si="2"/>
        <v>354.75</v>
      </c>
      <c r="I26" s="29"/>
      <c r="J26" s="198">
        <v>0</v>
      </c>
      <c r="K26" s="198" t="s">
        <v>314</v>
      </c>
      <c r="L26" s="198" t="e">
        <v>#DIV/0!</v>
      </c>
      <c r="M26" s="198">
        <v>0</v>
      </c>
      <c r="N26" s="78"/>
      <c r="O26" s="37">
        <v>0</v>
      </c>
      <c r="P26" s="37" t="s">
        <v>314</v>
      </c>
      <c r="Q26" s="37" t="e">
        <v>#DIV/0!</v>
      </c>
      <c r="R26" s="37">
        <v>0</v>
      </c>
      <c r="S26" s="78"/>
      <c r="T26" s="226">
        <v>0.7</v>
      </c>
      <c r="U26" s="226" t="s">
        <v>314</v>
      </c>
      <c r="V26" s="226">
        <v>506.78571428571433</v>
      </c>
      <c r="W26" s="226">
        <v>354.75</v>
      </c>
      <c r="X26" s="78"/>
      <c r="Y26" s="178">
        <v>0</v>
      </c>
      <c r="Z26" s="178" t="s">
        <v>314</v>
      </c>
      <c r="AA26" s="178" t="e">
        <v>#DIV/0!</v>
      </c>
      <c r="AB26" s="178">
        <v>0</v>
      </c>
      <c r="AC26" s="78"/>
      <c r="AD26" s="185">
        <v>0</v>
      </c>
      <c r="AE26" s="189" t="s">
        <v>314</v>
      </c>
      <c r="AF26" s="187">
        <v>0</v>
      </c>
      <c r="AG26" s="50">
        <v>0</v>
      </c>
      <c r="AH26" s="78"/>
      <c r="AI26" s="37">
        <v>0</v>
      </c>
      <c r="AJ26" s="37" t="s">
        <v>314</v>
      </c>
      <c r="AK26" s="37" t="e">
        <v>#DIV/0!</v>
      </c>
      <c r="AL26" s="37">
        <v>0</v>
      </c>
      <c r="AM26" s="78"/>
      <c r="AN26" s="42"/>
      <c r="AO26" s="124" t="s">
        <v>314</v>
      </c>
      <c r="AP26" s="43" t="e">
        <v>#DIV/0!</v>
      </c>
      <c r="AQ26" s="34"/>
      <c r="AR26" s="78"/>
      <c r="AS26" s="42"/>
      <c r="AT26" s="124" t="s">
        <v>314</v>
      </c>
      <c r="AU26" s="43" t="e">
        <v>#DIV/0!</v>
      </c>
      <c r="AV26" s="34"/>
      <c r="AW26" s="78"/>
      <c r="AX26" s="42"/>
      <c r="AY26" s="124" t="s">
        <v>314</v>
      </c>
      <c r="AZ26" s="43" t="e">
        <v>#DIV/0!</v>
      </c>
      <c r="BA26" s="34"/>
      <c r="BB26" s="78"/>
      <c r="BC26" s="42">
        <v>0</v>
      </c>
      <c r="BD26" s="124" t="s">
        <v>314</v>
      </c>
      <c r="BE26" s="43" t="e">
        <v>#DIV/0!</v>
      </c>
      <c r="BF26" s="42">
        <v>0</v>
      </c>
      <c r="BG26" s="78"/>
    </row>
    <row r="27" spans="1:58" ht="16.5">
      <c r="A27" s="4">
        <v>5</v>
      </c>
      <c r="B27" s="3" t="s">
        <v>3</v>
      </c>
      <c r="C27" s="4" t="s">
        <v>64</v>
      </c>
      <c r="D27" s="6" t="s">
        <v>82</v>
      </c>
      <c r="E27" s="42">
        <f t="shared" si="1"/>
        <v>1.68</v>
      </c>
      <c r="F27" s="119" t="s">
        <v>315</v>
      </c>
      <c r="G27" s="43">
        <f t="shared" si="0"/>
        <v>504.1666666666667</v>
      </c>
      <c r="H27" s="34">
        <f t="shared" si="2"/>
        <v>847</v>
      </c>
      <c r="J27" s="195">
        <v>0.7</v>
      </c>
      <c r="K27" s="195" t="s">
        <v>315</v>
      </c>
      <c r="L27" s="195">
        <v>580</v>
      </c>
      <c r="M27" s="195">
        <v>406</v>
      </c>
      <c r="O27" s="28">
        <v>0</v>
      </c>
      <c r="P27" s="28" t="s">
        <v>315</v>
      </c>
      <c r="Q27" s="28" t="e">
        <v>#DIV/0!</v>
      </c>
      <c r="R27" s="28">
        <v>0</v>
      </c>
      <c r="T27" s="223">
        <v>0.28</v>
      </c>
      <c r="U27" s="223" t="s">
        <v>315</v>
      </c>
      <c r="V27" s="223">
        <v>449.99999999999994</v>
      </c>
      <c r="W27" s="223">
        <v>126</v>
      </c>
      <c r="Y27" s="175">
        <v>0</v>
      </c>
      <c r="Z27" s="175" t="s">
        <v>315</v>
      </c>
      <c r="AA27" s="175" t="e">
        <v>#DIV/0!</v>
      </c>
      <c r="AB27" s="175">
        <v>0</v>
      </c>
      <c r="AD27" s="185">
        <v>0.7</v>
      </c>
      <c r="AE27" s="186" t="s">
        <v>315</v>
      </c>
      <c r="AF27" s="187">
        <v>450.00000000000006</v>
      </c>
      <c r="AG27" s="50">
        <v>315</v>
      </c>
      <c r="AI27" s="28">
        <v>0</v>
      </c>
      <c r="AJ27" s="28" t="s">
        <v>315</v>
      </c>
      <c r="AK27" s="28" t="e">
        <v>#DIV/0!</v>
      </c>
      <c r="AL27" s="28">
        <v>0</v>
      </c>
      <c r="AN27" s="42"/>
      <c r="AO27" s="119" t="s">
        <v>315</v>
      </c>
      <c r="AP27" s="43" t="e">
        <v>#DIV/0!</v>
      </c>
      <c r="AQ27" s="34"/>
      <c r="AS27" s="42"/>
      <c r="AT27" s="119" t="s">
        <v>315</v>
      </c>
      <c r="AU27" s="43" t="e">
        <v>#DIV/0!</v>
      </c>
      <c r="AV27" s="34"/>
      <c r="AX27" s="42"/>
      <c r="AY27" s="119" t="s">
        <v>315</v>
      </c>
      <c r="AZ27" s="43" t="e">
        <v>#DIV/0!</v>
      </c>
      <c r="BA27" s="34"/>
      <c r="BC27" s="42">
        <v>0</v>
      </c>
      <c r="BD27" s="119" t="s">
        <v>315</v>
      </c>
      <c r="BE27" s="43" t="e">
        <v>#DIV/0!</v>
      </c>
      <c r="BF27" s="42">
        <v>0</v>
      </c>
    </row>
    <row r="28" spans="1:58" ht="16.5">
      <c r="A28" s="2">
        <v>4</v>
      </c>
      <c r="B28" s="3" t="s">
        <v>3</v>
      </c>
      <c r="C28" s="2" t="s">
        <v>4</v>
      </c>
      <c r="D28" s="6" t="s">
        <v>12</v>
      </c>
      <c r="E28" s="42">
        <f t="shared" si="1"/>
        <v>13</v>
      </c>
      <c r="F28" s="124" t="s">
        <v>314</v>
      </c>
      <c r="G28" s="43">
        <f t="shared" si="0"/>
        <v>557.6923076923077</v>
      </c>
      <c r="H28" s="34">
        <f t="shared" si="2"/>
        <v>7250</v>
      </c>
      <c r="I28" s="35"/>
      <c r="J28" s="195">
        <v>4</v>
      </c>
      <c r="K28" s="195" t="s">
        <v>314</v>
      </c>
      <c r="L28" s="195">
        <v>563.5</v>
      </c>
      <c r="M28" s="195">
        <v>2254</v>
      </c>
      <c r="O28" s="28">
        <v>2</v>
      </c>
      <c r="P28" s="28" t="s">
        <v>314</v>
      </c>
      <c r="Q28" s="28">
        <v>487.5</v>
      </c>
      <c r="R28" s="28">
        <v>975</v>
      </c>
      <c r="T28" s="223">
        <v>1</v>
      </c>
      <c r="U28" s="223" t="s">
        <v>314</v>
      </c>
      <c r="V28" s="223">
        <v>568</v>
      </c>
      <c r="W28" s="223">
        <v>568</v>
      </c>
      <c r="Y28" s="175">
        <v>4</v>
      </c>
      <c r="Z28" s="175" t="s">
        <v>314</v>
      </c>
      <c r="AA28" s="175">
        <v>558.25</v>
      </c>
      <c r="AB28" s="175">
        <v>2233</v>
      </c>
      <c r="AD28" s="185">
        <v>0</v>
      </c>
      <c r="AE28" s="189" t="s">
        <v>314</v>
      </c>
      <c r="AF28" s="187">
        <v>0</v>
      </c>
      <c r="AG28" s="50">
        <v>0</v>
      </c>
      <c r="AI28" s="28">
        <v>2</v>
      </c>
      <c r="AJ28" s="28" t="s">
        <v>314</v>
      </c>
      <c r="AK28" s="28">
        <v>610</v>
      </c>
      <c r="AL28" s="28">
        <v>1220</v>
      </c>
      <c r="AN28" s="42"/>
      <c r="AO28" s="124" t="s">
        <v>314</v>
      </c>
      <c r="AP28" s="43" t="e">
        <v>#DIV/0!</v>
      </c>
      <c r="AQ28" s="34"/>
      <c r="AS28" s="42"/>
      <c r="AT28" s="124" t="s">
        <v>314</v>
      </c>
      <c r="AU28" s="43" t="e">
        <v>#DIV/0!</v>
      </c>
      <c r="AV28" s="34"/>
      <c r="AX28" s="42"/>
      <c r="AY28" s="124" t="s">
        <v>314</v>
      </c>
      <c r="AZ28" s="43" t="e">
        <v>#DIV/0!</v>
      </c>
      <c r="BA28" s="34"/>
      <c r="BC28" s="42">
        <v>0</v>
      </c>
      <c r="BD28" s="124" t="s">
        <v>314</v>
      </c>
      <c r="BE28" s="43" t="e">
        <v>#DIV/0!</v>
      </c>
      <c r="BF28" s="42">
        <v>0</v>
      </c>
    </row>
    <row r="29" spans="1:58" ht="49.5">
      <c r="A29" s="2">
        <v>4</v>
      </c>
      <c r="B29" s="3" t="s">
        <v>3</v>
      </c>
      <c r="C29" s="2" t="s">
        <v>4</v>
      </c>
      <c r="D29" s="6" t="s">
        <v>33</v>
      </c>
      <c r="E29" s="42">
        <f t="shared" si="1"/>
        <v>10.7</v>
      </c>
      <c r="F29" s="124" t="s">
        <v>316</v>
      </c>
      <c r="G29" s="43">
        <f t="shared" si="0"/>
        <v>464.0186915887851</v>
      </c>
      <c r="H29" s="34">
        <f t="shared" si="2"/>
        <v>4965</v>
      </c>
      <c r="J29" s="195">
        <v>0</v>
      </c>
      <c r="K29" s="195" t="s">
        <v>316</v>
      </c>
      <c r="L29" s="195" t="e">
        <v>#DIV/0!</v>
      </c>
      <c r="M29" s="195">
        <v>0</v>
      </c>
      <c r="O29" s="28">
        <f>2.7+1</f>
        <v>3.7</v>
      </c>
      <c r="P29" s="28" t="s">
        <v>316</v>
      </c>
      <c r="Q29" s="28">
        <v>478.88888888888886</v>
      </c>
      <c r="R29" s="28">
        <f>1293+430</f>
        <v>1723</v>
      </c>
      <c r="T29" s="223">
        <f>3+1</f>
        <v>4</v>
      </c>
      <c r="U29" s="223" t="s">
        <v>316</v>
      </c>
      <c r="V29" s="223">
        <v>488</v>
      </c>
      <c r="W29" s="223">
        <f>1464+488</f>
        <v>1952</v>
      </c>
      <c r="Y29" s="175">
        <v>3</v>
      </c>
      <c r="Z29" s="175" t="s">
        <v>316</v>
      </c>
      <c r="AA29" s="175">
        <v>430</v>
      </c>
      <c r="AB29" s="175">
        <v>1290</v>
      </c>
      <c r="AD29" s="185">
        <v>0</v>
      </c>
      <c r="AE29" s="189" t="s">
        <v>316</v>
      </c>
      <c r="AF29" s="187">
        <v>0</v>
      </c>
      <c r="AG29" s="50">
        <v>0</v>
      </c>
      <c r="AI29" s="28">
        <v>0</v>
      </c>
      <c r="AJ29" s="28" t="s">
        <v>316</v>
      </c>
      <c r="AK29" s="28" t="e">
        <v>#DIV/0!</v>
      </c>
      <c r="AL29" s="28">
        <v>0</v>
      </c>
      <c r="AN29" s="42"/>
      <c r="AO29" s="124" t="s">
        <v>316</v>
      </c>
      <c r="AP29" s="43" t="e">
        <v>#DIV/0!</v>
      </c>
      <c r="AQ29" s="34"/>
      <c r="AS29" s="42"/>
      <c r="AT29" s="124" t="s">
        <v>316</v>
      </c>
      <c r="AU29" s="43" t="e">
        <v>#DIV/0!</v>
      </c>
      <c r="AV29" s="34"/>
      <c r="AX29" s="42"/>
      <c r="AY29" s="124" t="s">
        <v>316</v>
      </c>
      <c r="AZ29" s="43" t="e">
        <v>#DIV/0!</v>
      </c>
      <c r="BA29" s="34"/>
      <c r="BC29" s="42">
        <v>0</v>
      </c>
      <c r="BD29" s="124" t="s">
        <v>316</v>
      </c>
      <c r="BE29" s="43" t="e">
        <v>#DIV/0!</v>
      </c>
      <c r="BF29" s="42">
        <v>0</v>
      </c>
    </row>
    <row r="30" spans="1:58" ht="16.5">
      <c r="A30" s="4">
        <v>4</v>
      </c>
      <c r="B30" s="3" t="s">
        <v>3</v>
      </c>
      <c r="C30" s="4" t="s">
        <v>4</v>
      </c>
      <c r="D30" s="6" t="s">
        <v>36</v>
      </c>
      <c r="E30" s="42">
        <f t="shared" si="1"/>
        <v>12.75</v>
      </c>
      <c r="F30" s="124" t="s">
        <v>316</v>
      </c>
      <c r="G30" s="43">
        <f t="shared" si="0"/>
        <v>461.93647058823535</v>
      </c>
      <c r="H30" s="34">
        <f t="shared" si="2"/>
        <v>5889.6900000000005</v>
      </c>
      <c r="J30" s="195">
        <v>5</v>
      </c>
      <c r="K30" s="195" t="s">
        <v>316</v>
      </c>
      <c r="L30" s="195">
        <v>479.2</v>
      </c>
      <c r="M30" s="195">
        <v>2396</v>
      </c>
      <c r="O30" s="28">
        <v>2.2</v>
      </c>
      <c r="P30" s="28" t="s">
        <v>316</v>
      </c>
      <c r="Q30" s="28">
        <v>456.3636363636363</v>
      </c>
      <c r="R30" s="28">
        <v>1004</v>
      </c>
      <c r="T30" s="223">
        <v>0</v>
      </c>
      <c r="U30" s="223" t="s">
        <v>316</v>
      </c>
      <c r="W30" s="223">
        <v>0</v>
      </c>
      <c r="Y30" s="175">
        <v>1.5</v>
      </c>
      <c r="Z30" s="175" t="s">
        <v>316</v>
      </c>
      <c r="AA30" s="175">
        <v>449.1266666666667</v>
      </c>
      <c r="AB30" s="175">
        <v>673.69</v>
      </c>
      <c r="AD30" s="185">
        <v>2.05</v>
      </c>
      <c r="AE30" s="189" t="s">
        <v>316</v>
      </c>
      <c r="AF30" s="187">
        <v>454.63414634146346</v>
      </c>
      <c r="AG30" s="50">
        <v>932</v>
      </c>
      <c r="AI30" s="28">
        <v>0</v>
      </c>
      <c r="AJ30" s="28" t="s">
        <v>316</v>
      </c>
      <c r="AK30" s="28" t="e">
        <v>#DIV/0!</v>
      </c>
      <c r="AL30" s="28">
        <v>0</v>
      </c>
      <c r="AN30" s="42"/>
      <c r="AO30" s="124" t="s">
        <v>316</v>
      </c>
      <c r="AP30" s="43" t="e">
        <v>#DIV/0!</v>
      </c>
      <c r="AQ30" s="34"/>
      <c r="AS30" s="42"/>
      <c r="AT30" s="124" t="s">
        <v>316</v>
      </c>
      <c r="AU30" s="43" t="e">
        <v>#DIV/0!</v>
      </c>
      <c r="AV30" s="34"/>
      <c r="AX30" s="42"/>
      <c r="AY30" s="124" t="s">
        <v>316</v>
      </c>
      <c r="AZ30" s="43" t="e">
        <v>#DIV/0!</v>
      </c>
      <c r="BA30" s="34"/>
      <c r="BC30" s="42">
        <v>2</v>
      </c>
      <c r="BD30" s="124" t="s">
        <v>316</v>
      </c>
      <c r="BE30" s="43">
        <v>442</v>
      </c>
      <c r="BF30" s="42">
        <v>884</v>
      </c>
    </row>
    <row r="31" spans="1:58" ht="16.5">
      <c r="A31" s="4">
        <v>4</v>
      </c>
      <c r="B31" s="3" t="s">
        <v>3</v>
      </c>
      <c r="C31" s="4" t="s">
        <v>4</v>
      </c>
      <c r="D31" s="6" t="s">
        <v>40</v>
      </c>
      <c r="E31" s="42">
        <f t="shared" si="1"/>
        <v>25.95</v>
      </c>
      <c r="F31" s="124" t="s">
        <v>316</v>
      </c>
      <c r="G31" s="43">
        <f t="shared" si="0"/>
        <v>450.1579961464355</v>
      </c>
      <c r="H31" s="34">
        <f t="shared" si="2"/>
        <v>11681.6</v>
      </c>
      <c r="J31" s="195">
        <v>5.4</v>
      </c>
      <c r="K31" s="195" t="s">
        <v>316</v>
      </c>
      <c r="L31" s="195">
        <v>452.4074074074074</v>
      </c>
      <c r="M31" s="195">
        <v>2443</v>
      </c>
      <c r="O31" s="28">
        <v>4</v>
      </c>
      <c r="P31" s="28" t="s">
        <v>316</v>
      </c>
      <c r="Q31" s="28">
        <v>437.25</v>
      </c>
      <c r="R31" s="28">
        <v>1749</v>
      </c>
      <c r="T31" s="223">
        <v>1.6</v>
      </c>
      <c r="U31" s="223" t="s">
        <v>316</v>
      </c>
      <c r="V31" s="223">
        <v>454.375</v>
      </c>
      <c r="W31" s="223">
        <v>727</v>
      </c>
      <c r="Y31" s="175">
        <v>6.15</v>
      </c>
      <c r="Z31" s="175" t="s">
        <v>316</v>
      </c>
      <c r="AA31" s="175">
        <v>465.130081300813</v>
      </c>
      <c r="AB31" s="175">
        <v>2860.55</v>
      </c>
      <c r="AD31" s="185">
        <v>4</v>
      </c>
      <c r="AE31" s="189" t="s">
        <v>316</v>
      </c>
      <c r="AF31" s="187">
        <v>444.5125</v>
      </c>
      <c r="AG31" s="50">
        <v>1778.05</v>
      </c>
      <c r="AI31" s="28">
        <v>3</v>
      </c>
      <c r="AJ31" s="28" t="s">
        <v>316</v>
      </c>
      <c r="AK31" s="28">
        <v>450</v>
      </c>
      <c r="AL31" s="28">
        <v>1350</v>
      </c>
      <c r="AN31" s="42"/>
      <c r="AO31" s="124" t="s">
        <v>316</v>
      </c>
      <c r="AP31" s="43" t="e">
        <v>#DIV/0!</v>
      </c>
      <c r="AQ31" s="34"/>
      <c r="AS31" s="42"/>
      <c r="AT31" s="124" t="s">
        <v>316</v>
      </c>
      <c r="AU31" s="43" t="e">
        <v>#DIV/0!</v>
      </c>
      <c r="AV31" s="34"/>
      <c r="AX31" s="42"/>
      <c r="AY31" s="124" t="s">
        <v>316</v>
      </c>
      <c r="AZ31" s="43" t="e">
        <v>#DIV/0!</v>
      </c>
      <c r="BA31" s="34"/>
      <c r="BC31" s="42">
        <v>1.8</v>
      </c>
      <c r="BD31" s="124" t="s">
        <v>316</v>
      </c>
      <c r="BE31" s="43">
        <v>430</v>
      </c>
      <c r="BF31" s="42">
        <v>774</v>
      </c>
    </row>
    <row r="32" spans="1:58" ht="16.5">
      <c r="A32" s="4">
        <v>4</v>
      </c>
      <c r="B32" s="3" t="s">
        <v>3</v>
      </c>
      <c r="C32" s="4" t="s">
        <v>4</v>
      </c>
      <c r="D32" s="6" t="s">
        <v>51</v>
      </c>
      <c r="E32" s="42">
        <f t="shared" si="1"/>
        <v>4</v>
      </c>
      <c r="F32" s="124" t="s">
        <v>316</v>
      </c>
      <c r="G32" s="43">
        <f t="shared" si="0"/>
        <v>447</v>
      </c>
      <c r="H32" s="34">
        <f t="shared" si="2"/>
        <v>1788</v>
      </c>
      <c r="J32" s="195">
        <v>0</v>
      </c>
      <c r="K32" s="195" t="s">
        <v>316</v>
      </c>
      <c r="L32" s="195" t="e">
        <v>#DIV/0!</v>
      </c>
      <c r="M32" s="195">
        <v>0</v>
      </c>
      <c r="O32" s="28">
        <v>0</v>
      </c>
      <c r="P32" s="28" t="s">
        <v>316</v>
      </c>
      <c r="Q32" s="28" t="e">
        <v>#DIV/0!</v>
      </c>
      <c r="R32" s="28">
        <v>0</v>
      </c>
      <c r="T32" s="223">
        <v>0</v>
      </c>
      <c r="U32" s="223" t="s">
        <v>316</v>
      </c>
      <c r="W32" s="223">
        <v>0</v>
      </c>
      <c r="Y32" s="175">
        <v>1</v>
      </c>
      <c r="Z32" s="175" t="s">
        <v>316</v>
      </c>
      <c r="AA32" s="175">
        <v>490</v>
      </c>
      <c r="AB32" s="175">
        <v>490</v>
      </c>
      <c r="AD32" s="185">
        <v>2</v>
      </c>
      <c r="AE32" s="189" t="s">
        <v>316</v>
      </c>
      <c r="AF32" s="187">
        <v>434</v>
      </c>
      <c r="AG32" s="50">
        <v>868</v>
      </c>
      <c r="AI32" s="28">
        <v>0</v>
      </c>
      <c r="AJ32" s="28" t="s">
        <v>316</v>
      </c>
      <c r="AK32" s="28" t="e">
        <v>#DIV/0!</v>
      </c>
      <c r="AL32" s="28">
        <v>0</v>
      </c>
      <c r="AN32" s="42"/>
      <c r="AO32" s="124" t="s">
        <v>316</v>
      </c>
      <c r="AP32" s="43" t="e">
        <v>#DIV/0!</v>
      </c>
      <c r="AQ32" s="34"/>
      <c r="AS32" s="42"/>
      <c r="AT32" s="124" t="s">
        <v>316</v>
      </c>
      <c r="AU32" s="43" t="e">
        <v>#DIV/0!</v>
      </c>
      <c r="AV32" s="34"/>
      <c r="AX32" s="42"/>
      <c r="AY32" s="124" t="s">
        <v>316</v>
      </c>
      <c r="AZ32" s="43" t="e">
        <v>#DIV/0!</v>
      </c>
      <c r="BA32" s="34"/>
      <c r="BC32" s="42">
        <v>1</v>
      </c>
      <c r="BD32" s="124" t="s">
        <v>316</v>
      </c>
      <c r="BE32" s="43">
        <v>430</v>
      </c>
      <c r="BF32" s="42">
        <v>430</v>
      </c>
    </row>
    <row r="33" spans="1:58" ht="16.5">
      <c r="A33" s="4">
        <v>4</v>
      </c>
      <c r="B33" s="3" t="s">
        <v>3</v>
      </c>
      <c r="C33" s="4" t="s">
        <v>4</v>
      </c>
      <c r="D33" s="6" t="s">
        <v>58</v>
      </c>
      <c r="E33" s="42">
        <f t="shared" si="1"/>
        <v>129.1</v>
      </c>
      <c r="F33" s="124" t="s">
        <v>316</v>
      </c>
      <c r="G33" s="43">
        <f t="shared" si="0"/>
        <v>468.5526723470178</v>
      </c>
      <c r="H33" s="34">
        <f t="shared" si="2"/>
        <v>60490.149999999994</v>
      </c>
      <c r="J33" s="195">
        <v>37.5</v>
      </c>
      <c r="K33" s="195" t="s">
        <v>316</v>
      </c>
      <c r="L33" s="195">
        <v>467.06666666666666</v>
      </c>
      <c r="M33" s="195">
        <v>17515</v>
      </c>
      <c r="O33" s="28">
        <v>10</v>
      </c>
      <c r="P33" s="28" t="s">
        <v>316</v>
      </c>
      <c r="Q33" s="28">
        <v>496.81100000000004</v>
      </c>
      <c r="R33" s="28">
        <v>4968.110000000001</v>
      </c>
      <c r="T33" s="223">
        <f>8.5+1</f>
        <v>9.5</v>
      </c>
      <c r="U33" s="223" t="s">
        <v>316</v>
      </c>
      <c r="V33" s="223">
        <v>472.0894117647059</v>
      </c>
      <c r="W33" s="223">
        <f>4012.76+430</f>
        <v>4442.76</v>
      </c>
      <c r="Y33" s="175">
        <v>30.35</v>
      </c>
      <c r="Z33" s="175" t="s">
        <v>316</v>
      </c>
      <c r="AA33" s="175">
        <v>471.3607907742998</v>
      </c>
      <c r="AB33" s="175">
        <v>14305.8</v>
      </c>
      <c r="AD33" s="185">
        <v>21</v>
      </c>
      <c r="AE33" s="189" t="s">
        <v>316</v>
      </c>
      <c r="AF33" s="187">
        <v>456.47523809523807</v>
      </c>
      <c r="AG33" s="50">
        <v>9585.98</v>
      </c>
      <c r="AI33" s="28">
        <v>8.5</v>
      </c>
      <c r="AJ33" s="28" t="s">
        <v>316</v>
      </c>
      <c r="AK33" s="28">
        <v>461.29411764705884</v>
      </c>
      <c r="AL33" s="28">
        <v>3921</v>
      </c>
      <c r="AN33" s="42">
        <v>2.75</v>
      </c>
      <c r="AO33" s="124" t="s">
        <v>316</v>
      </c>
      <c r="AP33" s="43">
        <v>470</v>
      </c>
      <c r="AQ33" s="34">
        <v>1292.5</v>
      </c>
      <c r="AS33" s="42">
        <v>1.5</v>
      </c>
      <c r="AT33" s="124" t="s">
        <v>316</v>
      </c>
      <c r="AU33" s="43">
        <v>450</v>
      </c>
      <c r="AV33" s="34">
        <v>675</v>
      </c>
      <c r="AX33" s="42"/>
      <c r="AY33" s="124" t="s">
        <v>316</v>
      </c>
      <c r="AZ33" s="43" t="e">
        <v>#DIV/0!</v>
      </c>
      <c r="BA33" s="34"/>
      <c r="BC33" s="42">
        <v>8</v>
      </c>
      <c r="BD33" s="124" t="s">
        <v>316</v>
      </c>
      <c r="BE33" s="43">
        <v>473</v>
      </c>
      <c r="BF33" s="42">
        <v>3784</v>
      </c>
    </row>
    <row r="34" spans="1:59" s="38" customFormat="1" ht="16.5">
      <c r="A34" s="4">
        <v>4</v>
      </c>
      <c r="B34" s="3" t="s">
        <v>3</v>
      </c>
      <c r="C34" s="4" t="s">
        <v>4</v>
      </c>
      <c r="D34" s="6" t="s">
        <v>59</v>
      </c>
      <c r="E34" s="42">
        <f t="shared" si="1"/>
        <v>208.51999999999998</v>
      </c>
      <c r="F34" s="124" t="s">
        <v>314</v>
      </c>
      <c r="G34" s="43">
        <f t="shared" si="0"/>
        <v>456.1413773259161</v>
      </c>
      <c r="H34" s="34">
        <f t="shared" si="2"/>
        <v>95114.60000000002</v>
      </c>
      <c r="I34" s="29"/>
      <c r="J34" s="199">
        <f>46.5+0.5</f>
        <v>47</v>
      </c>
      <c r="K34" s="199" t="s">
        <v>314</v>
      </c>
      <c r="L34" s="199">
        <v>468.36365591397856</v>
      </c>
      <c r="M34" s="199">
        <f>21778.91+215</f>
        <v>21993.91</v>
      </c>
      <c r="N34" s="128"/>
      <c r="O34" s="38">
        <f>33+1.2</f>
        <v>34.2</v>
      </c>
      <c r="P34" s="38" t="s">
        <v>314</v>
      </c>
      <c r="Q34" s="38">
        <v>445.1090909090909</v>
      </c>
      <c r="R34" s="38">
        <f>14688.6+614.82</f>
        <v>15303.42</v>
      </c>
      <c r="S34" s="128"/>
      <c r="T34" s="227">
        <v>24.62</v>
      </c>
      <c r="U34" s="227" t="s">
        <v>314</v>
      </c>
      <c r="V34" s="227">
        <v>447.5373679935012</v>
      </c>
      <c r="W34" s="227">
        <v>11018.37</v>
      </c>
      <c r="X34" s="128"/>
      <c r="Y34" s="179">
        <f>38.45+0.5</f>
        <v>38.95</v>
      </c>
      <c r="Z34" s="179" t="s">
        <v>314</v>
      </c>
      <c r="AA34" s="179">
        <v>453.42002600780233</v>
      </c>
      <c r="AB34" s="179">
        <f>17434+230</f>
        <v>17664</v>
      </c>
      <c r="AC34" s="128"/>
      <c r="AD34" s="185">
        <v>32.675</v>
      </c>
      <c r="AE34" s="189" t="s">
        <v>314</v>
      </c>
      <c r="AF34" s="187">
        <v>456.5294567712318</v>
      </c>
      <c r="AG34" s="50">
        <v>14917.099999999999</v>
      </c>
      <c r="AH34" s="128"/>
      <c r="AI34" s="38">
        <v>28.349999999999998</v>
      </c>
      <c r="AJ34" s="38" t="s">
        <v>314</v>
      </c>
      <c r="AK34" s="38">
        <v>451.70970017636694</v>
      </c>
      <c r="AL34" s="38">
        <v>12805.970000000001</v>
      </c>
      <c r="AM34" s="128"/>
      <c r="AN34" s="42">
        <v>1.475</v>
      </c>
      <c r="AO34" s="124" t="s">
        <v>314</v>
      </c>
      <c r="AP34" s="43">
        <v>589.0033898305085</v>
      </c>
      <c r="AQ34" s="34">
        <v>868.78</v>
      </c>
      <c r="AR34" s="128"/>
      <c r="AS34" s="42"/>
      <c r="AT34" s="124" t="s">
        <v>314</v>
      </c>
      <c r="AU34" s="43" t="e">
        <v>#DIV/0!</v>
      </c>
      <c r="AV34" s="34"/>
      <c r="AW34" s="128"/>
      <c r="AX34" s="42"/>
      <c r="AY34" s="124" t="s">
        <v>314</v>
      </c>
      <c r="AZ34" s="43" t="e">
        <v>#DIV/0!</v>
      </c>
      <c r="BA34" s="34"/>
      <c r="BB34" s="128"/>
      <c r="BC34" s="42">
        <v>1.25</v>
      </c>
      <c r="BD34" s="124" t="s">
        <v>314</v>
      </c>
      <c r="BE34" s="43">
        <v>434.43999999999994</v>
      </c>
      <c r="BF34" s="42">
        <v>543.05</v>
      </c>
      <c r="BG34" s="128"/>
    </row>
    <row r="35" spans="1:58" ht="16.5">
      <c r="A35" s="4">
        <v>4</v>
      </c>
      <c r="B35" s="3" t="s">
        <v>3</v>
      </c>
      <c r="C35" s="4" t="s">
        <v>4</v>
      </c>
      <c r="D35" s="6" t="s">
        <v>73</v>
      </c>
      <c r="E35" s="42">
        <f t="shared" si="1"/>
        <v>4.66</v>
      </c>
      <c r="F35" s="124" t="s">
        <v>314</v>
      </c>
      <c r="G35" s="43">
        <f t="shared" si="0"/>
        <v>560.0493562231759</v>
      </c>
      <c r="H35" s="34">
        <f t="shared" si="2"/>
        <v>2609.83</v>
      </c>
      <c r="J35" s="195">
        <v>0</v>
      </c>
      <c r="K35" s="195" t="s">
        <v>314</v>
      </c>
      <c r="L35" s="195" t="e">
        <v>#DIV/0!</v>
      </c>
      <c r="M35" s="195">
        <v>0</v>
      </c>
      <c r="O35" s="28">
        <v>0</v>
      </c>
      <c r="P35" s="28" t="s">
        <v>314</v>
      </c>
      <c r="Q35" s="28" t="e">
        <v>#DIV/0!</v>
      </c>
      <c r="R35" s="28">
        <v>0</v>
      </c>
      <c r="T35" s="223">
        <v>1.6600000000000001</v>
      </c>
      <c r="U35" s="223" t="s">
        <v>314</v>
      </c>
      <c r="V35" s="223">
        <v>573.3915662650602</v>
      </c>
      <c r="W35" s="223">
        <v>951.8299999999999</v>
      </c>
      <c r="Y35" s="175">
        <v>0</v>
      </c>
      <c r="Z35" s="175" t="s">
        <v>314</v>
      </c>
      <c r="AA35" s="175" t="e">
        <v>#DIV/0!</v>
      </c>
      <c r="AB35" s="175">
        <v>0</v>
      </c>
      <c r="AD35" s="185">
        <v>0</v>
      </c>
      <c r="AE35" s="189" t="s">
        <v>314</v>
      </c>
      <c r="AF35" s="187">
        <v>0</v>
      </c>
      <c r="AG35" s="50">
        <v>0</v>
      </c>
      <c r="AI35" s="28">
        <v>0</v>
      </c>
      <c r="AJ35" s="28" t="s">
        <v>314</v>
      </c>
      <c r="AK35" s="28" t="e">
        <v>#DIV/0!</v>
      </c>
      <c r="AL35" s="28">
        <v>0</v>
      </c>
      <c r="AN35" s="42"/>
      <c r="AO35" s="124" t="s">
        <v>314</v>
      </c>
      <c r="AP35" s="43" t="e">
        <v>#DIV/0!</v>
      </c>
      <c r="AQ35" s="34"/>
      <c r="AS35" s="42">
        <v>1</v>
      </c>
      <c r="AT35" s="124" t="s">
        <v>314</v>
      </c>
      <c r="AU35" s="43">
        <v>598</v>
      </c>
      <c r="AV35" s="34">
        <v>598</v>
      </c>
      <c r="AX35" s="42"/>
      <c r="AY35" s="124" t="s">
        <v>314</v>
      </c>
      <c r="AZ35" s="43" t="e">
        <v>#DIV/0!</v>
      </c>
      <c r="BA35" s="34"/>
      <c r="BC35" s="42">
        <v>2</v>
      </c>
      <c r="BD35" s="124" t="s">
        <v>314</v>
      </c>
      <c r="BE35" s="43">
        <v>530</v>
      </c>
      <c r="BF35" s="42">
        <v>1060</v>
      </c>
    </row>
    <row r="36" spans="1:58" ht="16.5">
      <c r="A36" s="2">
        <v>4</v>
      </c>
      <c r="B36" s="3" t="s">
        <v>3</v>
      </c>
      <c r="C36" s="2" t="s">
        <v>4</v>
      </c>
      <c r="D36" s="6" t="s">
        <v>74</v>
      </c>
      <c r="E36" s="42">
        <f t="shared" si="1"/>
        <v>18.5</v>
      </c>
      <c r="F36" s="124" t="s">
        <v>316</v>
      </c>
      <c r="G36" s="43">
        <f t="shared" si="0"/>
        <v>485.3891891891892</v>
      </c>
      <c r="H36" s="34">
        <f t="shared" si="2"/>
        <v>8979.7</v>
      </c>
      <c r="J36" s="195">
        <v>0</v>
      </c>
      <c r="K36" s="195" t="s">
        <v>316</v>
      </c>
      <c r="L36" s="195" t="e">
        <v>#DIV/0!</v>
      </c>
      <c r="M36" s="195">
        <v>0</v>
      </c>
      <c r="O36" s="28">
        <v>0</v>
      </c>
      <c r="P36" s="28" t="s">
        <v>316</v>
      </c>
      <c r="Q36" s="28" t="e">
        <v>#DIV/0!</v>
      </c>
      <c r="R36" s="28">
        <v>0</v>
      </c>
      <c r="T36" s="223">
        <v>0</v>
      </c>
      <c r="U36" s="223" t="s">
        <v>316</v>
      </c>
      <c r="Y36" s="175">
        <v>0</v>
      </c>
      <c r="Z36" s="175" t="s">
        <v>316</v>
      </c>
      <c r="AA36" s="175" t="e">
        <v>#DIV/0!</v>
      </c>
      <c r="AB36" s="175">
        <v>0</v>
      </c>
      <c r="AD36" s="185">
        <v>4</v>
      </c>
      <c r="AE36" s="189" t="s">
        <v>316</v>
      </c>
      <c r="AF36" s="187">
        <v>443.25</v>
      </c>
      <c r="AG36" s="50">
        <v>1773</v>
      </c>
      <c r="AI36" s="28">
        <v>0</v>
      </c>
      <c r="AJ36" s="28" t="s">
        <v>316</v>
      </c>
      <c r="AK36" s="28" t="e">
        <v>#DIV/0!</v>
      </c>
      <c r="AL36" s="28">
        <v>0</v>
      </c>
      <c r="AN36" s="42">
        <v>3</v>
      </c>
      <c r="AO36" s="124" t="s">
        <v>316</v>
      </c>
      <c r="AP36" s="43">
        <v>522</v>
      </c>
      <c r="AQ36" s="34">
        <v>1566</v>
      </c>
      <c r="AS36" s="42">
        <v>3</v>
      </c>
      <c r="AT36" s="124" t="s">
        <v>316</v>
      </c>
      <c r="AU36" s="43">
        <v>430</v>
      </c>
      <c r="AV36" s="34">
        <v>1290</v>
      </c>
      <c r="AX36" s="42"/>
      <c r="AY36" s="124" t="s">
        <v>316</v>
      </c>
      <c r="AZ36" s="43" t="e">
        <v>#DIV/0!</v>
      </c>
      <c r="BA36" s="34"/>
      <c r="BC36" s="42">
        <v>8.5</v>
      </c>
      <c r="BD36" s="124" t="s">
        <v>316</v>
      </c>
      <c r="BE36" s="43">
        <v>511.8470588235294</v>
      </c>
      <c r="BF36" s="42">
        <v>4350.7</v>
      </c>
    </row>
    <row r="37" spans="1:58" ht="16.5">
      <c r="A37" s="4">
        <v>4</v>
      </c>
      <c r="B37" s="3" t="s">
        <v>3</v>
      </c>
      <c r="C37" s="4" t="s">
        <v>4</v>
      </c>
      <c r="D37" s="6" t="s">
        <v>79</v>
      </c>
      <c r="E37" s="42">
        <f t="shared" si="1"/>
        <v>5.5</v>
      </c>
      <c r="F37" s="124" t="s">
        <v>316</v>
      </c>
      <c r="G37" s="43">
        <f t="shared" si="0"/>
        <v>451.45454545454544</v>
      </c>
      <c r="H37" s="34">
        <f t="shared" si="2"/>
        <v>2483</v>
      </c>
      <c r="J37" s="195">
        <v>1</v>
      </c>
      <c r="K37" s="195" t="s">
        <v>316</v>
      </c>
      <c r="L37" s="195">
        <v>430</v>
      </c>
      <c r="M37" s="195">
        <v>430</v>
      </c>
      <c r="O37" s="28">
        <v>1</v>
      </c>
      <c r="P37" s="28" t="s">
        <v>316</v>
      </c>
      <c r="Q37" s="28">
        <v>430</v>
      </c>
      <c r="R37" s="28">
        <v>430</v>
      </c>
      <c r="T37" s="223">
        <v>0</v>
      </c>
      <c r="U37" s="223" t="s">
        <v>316</v>
      </c>
      <c r="Y37" s="175">
        <v>2</v>
      </c>
      <c r="Z37" s="175" t="s">
        <v>316</v>
      </c>
      <c r="AA37" s="175">
        <v>489</v>
      </c>
      <c r="AB37" s="175">
        <v>978</v>
      </c>
      <c r="AD37" s="185">
        <v>1.5</v>
      </c>
      <c r="AE37" s="189" t="s">
        <v>316</v>
      </c>
      <c r="AF37" s="187">
        <v>430</v>
      </c>
      <c r="AG37" s="50">
        <v>645</v>
      </c>
      <c r="AI37" s="28">
        <v>0</v>
      </c>
      <c r="AJ37" s="28" t="s">
        <v>316</v>
      </c>
      <c r="AK37" s="28" t="e">
        <v>#DIV/0!</v>
      </c>
      <c r="AL37" s="28">
        <v>0</v>
      </c>
      <c r="AN37" s="42"/>
      <c r="AO37" s="124" t="s">
        <v>316</v>
      </c>
      <c r="AP37" s="43" t="e">
        <v>#DIV/0!</v>
      </c>
      <c r="AQ37" s="34"/>
      <c r="AS37" s="42"/>
      <c r="AT37" s="124" t="s">
        <v>316</v>
      </c>
      <c r="AU37" s="43" t="e">
        <v>#DIV/0!</v>
      </c>
      <c r="AV37" s="34"/>
      <c r="AX37" s="42"/>
      <c r="AY37" s="124" t="s">
        <v>316</v>
      </c>
      <c r="AZ37" s="43" t="e">
        <v>#DIV/0!</v>
      </c>
      <c r="BA37" s="34"/>
      <c r="BC37" s="42">
        <v>0</v>
      </c>
      <c r="BD37" s="124" t="s">
        <v>316</v>
      </c>
      <c r="BE37" s="43" t="e">
        <v>#DIV/0!</v>
      </c>
      <c r="BF37" s="42">
        <v>0</v>
      </c>
    </row>
    <row r="38" spans="1:58" ht="16.5">
      <c r="A38" s="4">
        <v>2</v>
      </c>
      <c r="B38" s="4" t="s">
        <v>3</v>
      </c>
      <c r="C38" s="4" t="s">
        <v>30</v>
      </c>
      <c r="D38" s="10" t="s">
        <v>42</v>
      </c>
      <c r="E38" s="42">
        <f t="shared" si="1"/>
        <v>227.64999999999998</v>
      </c>
      <c r="F38" s="125" t="s">
        <v>313</v>
      </c>
      <c r="G38" s="43">
        <f t="shared" si="0"/>
        <v>434.64309246650566</v>
      </c>
      <c r="H38" s="34">
        <f t="shared" si="2"/>
        <v>98946.5</v>
      </c>
      <c r="J38" s="195">
        <v>58.3</v>
      </c>
      <c r="K38" s="195" t="s">
        <v>313</v>
      </c>
      <c r="L38" s="195">
        <v>436.5866209262436</v>
      </c>
      <c r="M38" s="195">
        <v>25453</v>
      </c>
      <c r="O38" s="28">
        <v>34.9</v>
      </c>
      <c r="P38" s="28" t="s">
        <v>313</v>
      </c>
      <c r="Q38" s="28">
        <v>430.63037249283667</v>
      </c>
      <c r="R38" s="28">
        <v>15029</v>
      </c>
      <c r="T38" s="223">
        <f>21.5+3</f>
        <v>24.5</v>
      </c>
      <c r="U38" s="223" t="s">
        <v>313</v>
      </c>
      <c r="V38" s="223">
        <v>435.86046511627904</v>
      </c>
      <c r="W38" s="223">
        <f>9371+1290</f>
        <v>10661</v>
      </c>
      <c r="Y38" s="175">
        <v>43.15</v>
      </c>
      <c r="Z38" s="175" t="s">
        <v>313</v>
      </c>
      <c r="AA38" s="175">
        <v>436.0602549246814</v>
      </c>
      <c r="AB38" s="175">
        <v>18816</v>
      </c>
      <c r="AD38" s="185">
        <v>31.5</v>
      </c>
      <c r="AE38" s="188" t="s">
        <v>313</v>
      </c>
      <c r="AF38" s="187">
        <v>433.85714285714283</v>
      </c>
      <c r="AG38" s="50">
        <v>13666.5</v>
      </c>
      <c r="AI38" s="28">
        <v>25.6</v>
      </c>
      <c r="AJ38" s="28" t="s">
        <v>313</v>
      </c>
      <c r="AK38" s="28">
        <v>430.8203125</v>
      </c>
      <c r="AL38" s="28">
        <v>11029</v>
      </c>
      <c r="AN38" s="42">
        <v>1.7</v>
      </c>
      <c r="AO38" s="125" t="s">
        <v>313</v>
      </c>
      <c r="AP38" s="43">
        <v>460</v>
      </c>
      <c r="AQ38" s="34">
        <v>782</v>
      </c>
      <c r="AS38" s="42">
        <v>2</v>
      </c>
      <c r="AT38" s="125" t="s">
        <v>313</v>
      </c>
      <c r="AU38" s="43">
        <v>440</v>
      </c>
      <c r="AV38" s="34">
        <v>880</v>
      </c>
      <c r="AX38" s="42"/>
      <c r="AY38" s="125" t="s">
        <v>313</v>
      </c>
      <c r="AZ38" s="43" t="e">
        <v>#DIV/0!</v>
      </c>
      <c r="BA38" s="34"/>
      <c r="BC38" s="42">
        <v>6</v>
      </c>
      <c r="BD38" s="125" t="s">
        <v>313</v>
      </c>
      <c r="BE38" s="43">
        <v>438.3333333333333</v>
      </c>
      <c r="BF38" s="42">
        <v>2630</v>
      </c>
    </row>
    <row r="39" spans="1:58" ht="16.5">
      <c r="A39" s="4">
        <v>2</v>
      </c>
      <c r="B39" s="4" t="s">
        <v>3</v>
      </c>
      <c r="C39" s="4" t="s">
        <v>30</v>
      </c>
      <c r="D39" s="10" t="s">
        <v>53</v>
      </c>
      <c r="E39" s="42">
        <f t="shared" si="1"/>
        <v>165.43</v>
      </c>
      <c r="F39" s="125" t="s">
        <v>313</v>
      </c>
      <c r="G39" s="43">
        <f t="shared" si="0"/>
        <v>433.64583207398897</v>
      </c>
      <c r="H39" s="34">
        <f t="shared" si="2"/>
        <v>71738.03</v>
      </c>
      <c r="J39" s="195">
        <v>38</v>
      </c>
      <c r="K39" s="195" t="s">
        <v>313</v>
      </c>
      <c r="L39" s="195">
        <v>436.8157894736842</v>
      </c>
      <c r="M39" s="195">
        <v>16599</v>
      </c>
      <c r="O39" s="28">
        <f>21+1</f>
        <v>22</v>
      </c>
      <c r="P39" s="28" t="s">
        <v>313</v>
      </c>
      <c r="Q39" s="28">
        <v>430.76190476190476</v>
      </c>
      <c r="R39" s="28">
        <f>9046+430</f>
        <v>9476</v>
      </c>
      <c r="T39" s="223">
        <f>16.95+2.25</f>
        <v>19.2</v>
      </c>
      <c r="U39" s="223" t="s">
        <v>313</v>
      </c>
      <c r="V39" s="223">
        <v>430</v>
      </c>
      <c r="W39" s="223">
        <f>7288.5+967.5</f>
        <v>8256</v>
      </c>
      <c r="Y39" s="175">
        <v>35.230000000000004</v>
      </c>
      <c r="Z39" s="175" t="s">
        <v>313</v>
      </c>
      <c r="AA39" s="175">
        <v>434.8433153562304</v>
      </c>
      <c r="AB39" s="175">
        <v>15319.529999999999</v>
      </c>
      <c r="AD39" s="185">
        <v>24.5</v>
      </c>
      <c r="AE39" s="188" t="s">
        <v>313</v>
      </c>
      <c r="AF39" s="187">
        <v>433.81632653061223</v>
      </c>
      <c r="AG39" s="50">
        <v>10628.5</v>
      </c>
      <c r="AI39" s="28">
        <v>23</v>
      </c>
      <c r="AJ39" s="28" t="s">
        <v>313</v>
      </c>
      <c r="AK39" s="28">
        <v>431.4782608695652</v>
      </c>
      <c r="AL39" s="28">
        <v>9924</v>
      </c>
      <c r="AN39" s="42"/>
      <c r="AO39" s="125" t="s">
        <v>313</v>
      </c>
      <c r="AP39" s="43" t="e">
        <v>#DIV/0!</v>
      </c>
      <c r="AQ39" s="34"/>
      <c r="AS39" s="42">
        <v>1.5</v>
      </c>
      <c r="AT39" s="125" t="s">
        <v>313</v>
      </c>
      <c r="AU39" s="43">
        <v>430</v>
      </c>
      <c r="AV39" s="34">
        <v>645</v>
      </c>
      <c r="AX39" s="42"/>
      <c r="AY39" s="125" t="s">
        <v>313</v>
      </c>
      <c r="AZ39" s="43" t="e">
        <v>#DIV/0!</v>
      </c>
      <c r="BA39" s="34"/>
      <c r="BC39" s="42">
        <v>2</v>
      </c>
      <c r="BD39" s="125" t="s">
        <v>313</v>
      </c>
      <c r="BE39" s="43">
        <v>445</v>
      </c>
      <c r="BF39" s="42">
        <v>890</v>
      </c>
    </row>
    <row r="40" spans="1:58" ht="16.5">
      <c r="A40" s="4">
        <v>2</v>
      </c>
      <c r="B40" s="3" t="s">
        <v>3</v>
      </c>
      <c r="C40" s="4" t="s">
        <v>30</v>
      </c>
      <c r="D40" s="6" t="s">
        <v>57</v>
      </c>
      <c r="E40" s="42">
        <f t="shared" si="1"/>
        <v>9.75</v>
      </c>
      <c r="F40" s="125" t="s">
        <v>313</v>
      </c>
      <c r="G40" s="43">
        <f t="shared" si="0"/>
        <v>430</v>
      </c>
      <c r="H40" s="34">
        <f t="shared" si="2"/>
        <v>4192.5</v>
      </c>
      <c r="J40" s="195">
        <v>0</v>
      </c>
      <c r="K40" s="195" t="s">
        <v>313</v>
      </c>
      <c r="L40" s="195" t="e">
        <v>#DIV/0!</v>
      </c>
      <c r="M40" s="195">
        <v>0</v>
      </c>
      <c r="O40" s="28">
        <v>3</v>
      </c>
      <c r="P40" s="28" t="s">
        <v>313</v>
      </c>
      <c r="Q40" s="28">
        <v>430</v>
      </c>
      <c r="R40" s="28">
        <v>1290</v>
      </c>
      <c r="T40" s="223">
        <v>0</v>
      </c>
      <c r="U40" s="223" t="s">
        <v>313</v>
      </c>
      <c r="Y40" s="175">
        <v>0</v>
      </c>
      <c r="Z40" s="175" t="s">
        <v>313</v>
      </c>
      <c r="AA40" s="175" t="e">
        <v>#DIV/0!</v>
      </c>
      <c r="AB40" s="175">
        <v>0</v>
      </c>
      <c r="AD40" s="185">
        <v>0</v>
      </c>
      <c r="AE40" s="188" t="s">
        <v>313</v>
      </c>
      <c r="AF40" s="187">
        <v>0</v>
      </c>
      <c r="AG40" s="50">
        <v>0</v>
      </c>
      <c r="AI40" s="28">
        <v>6.75</v>
      </c>
      <c r="AJ40" s="28" t="s">
        <v>313</v>
      </c>
      <c r="AK40" s="28">
        <v>430</v>
      </c>
      <c r="AL40" s="28">
        <v>2902.5</v>
      </c>
      <c r="AN40" s="42"/>
      <c r="AO40" s="125" t="s">
        <v>313</v>
      </c>
      <c r="AP40" s="43" t="e">
        <v>#DIV/0!</v>
      </c>
      <c r="AQ40" s="34"/>
      <c r="AS40" s="42"/>
      <c r="AT40" s="125" t="s">
        <v>313</v>
      </c>
      <c r="AU40" s="43" t="e">
        <v>#DIV/0!</v>
      </c>
      <c r="AV40" s="34"/>
      <c r="AX40" s="42"/>
      <c r="AY40" s="125" t="s">
        <v>313</v>
      </c>
      <c r="AZ40" s="43" t="e">
        <v>#DIV/0!</v>
      </c>
      <c r="BA40" s="34"/>
      <c r="BC40" s="42">
        <v>0</v>
      </c>
      <c r="BD40" s="125" t="s">
        <v>313</v>
      </c>
      <c r="BE40" s="43" t="e">
        <v>#DIV/0!</v>
      </c>
      <c r="BF40" s="42">
        <v>0</v>
      </c>
    </row>
    <row r="41" spans="1:58" ht="16.5">
      <c r="A41" s="4">
        <v>2</v>
      </c>
      <c r="B41" s="3" t="s">
        <v>3</v>
      </c>
      <c r="C41" s="4" t="s">
        <v>30</v>
      </c>
      <c r="D41" s="6" t="s">
        <v>88</v>
      </c>
      <c r="E41" s="42">
        <f t="shared" si="1"/>
        <v>131.27</v>
      </c>
      <c r="F41" s="125" t="s">
        <v>313</v>
      </c>
      <c r="G41" s="43">
        <f t="shared" si="0"/>
        <v>432.64531119067567</v>
      </c>
      <c r="H41" s="34">
        <f t="shared" si="2"/>
        <v>56793.35</v>
      </c>
      <c r="J41" s="195">
        <v>31.25</v>
      </c>
      <c r="K41" s="195" t="s">
        <v>313</v>
      </c>
      <c r="L41" s="195">
        <v>433.344</v>
      </c>
      <c r="M41" s="195">
        <v>13542</v>
      </c>
      <c r="O41" s="28">
        <v>17.42</v>
      </c>
      <c r="P41" s="28" t="s">
        <v>313</v>
      </c>
      <c r="Q41" s="28">
        <v>430</v>
      </c>
      <c r="R41" s="28">
        <v>7490.6</v>
      </c>
      <c r="T41" s="223">
        <v>12.600000000000001</v>
      </c>
      <c r="U41" s="223" t="s">
        <v>313</v>
      </c>
      <c r="V41" s="223">
        <v>429.99999999999994</v>
      </c>
      <c r="W41" s="223">
        <v>5418</v>
      </c>
      <c r="Y41" s="175">
        <v>23.35</v>
      </c>
      <c r="Z41" s="175" t="s">
        <v>313</v>
      </c>
      <c r="AA41" s="175">
        <v>437.5374732334047</v>
      </c>
      <c r="AB41" s="175">
        <v>10216.5</v>
      </c>
      <c r="AD41" s="185">
        <v>23.5</v>
      </c>
      <c r="AE41" s="188" t="s">
        <v>313</v>
      </c>
      <c r="AF41" s="187">
        <v>430.4255319148936</v>
      </c>
      <c r="AG41" s="50">
        <v>10115</v>
      </c>
      <c r="AI41" s="28">
        <v>21.15</v>
      </c>
      <c r="AJ41" s="28" t="s">
        <v>313</v>
      </c>
      <c r="AK41" s="28">
        <v>432.68321513002365</v>
      </c>
      <c r="AL41" s="28">
        <v>9151.25</v>
      </c>
      <c r="AN41" s="42"/>
      <c r="AO41" s="125" t="s">
        <v>313</v>
      </c>
      <c r="AP41" s="43" t="e">
        <v>#DIV/0!</v>
      </c>
      <c r="AQ41" s="34"/>
      <c r="AS41" s="42"/>
      <c r="AT41" s="125" t="s">
        <v>313</v>
      </c>
      <c r="AU41" s="43" t="e">
        <v>#DIV/0!</v>
      </c>
      <c r="AV41" s="34"/>
      <c r="AX41" s="42"/>
      <c r="AY41" s="125" t="s">
        <v>313</v>
      </c>
      <c r="AZ41" s="43" t="e">
        <v>#DIV/0!</v>
      </c>
      <c r="BA41" s="34"/>
      <c r="BC41" s="42">
        <v>2</v>
      </c>
      <c r="BD41" s="125" t="s">
        <v>313</v>
      </c>
      <c r="BE41" s="43">
        <v>430</v>
      </c>
      <c r="BF41" s="42">
        <v>860</v>
      </c>
    </row>
    <row r="42" spans="1:58" ht="16.5">
      <c r="A42" s="4">
        <v>2</v>
      </c>
      <c r="B42" s="3" t="s">
        <v>3</v>
      </c>
      <c r="C42" s="4" t="s">
        <v>30</v>
      </c>
      <c r="D42" s="6" t="s">
        <v>92</v>
      </c>
      <c r="E42" s="42">
        <f t="shared" si="1"/>
        <v>6.2</v>
      </c>
      <c r="F42" s="124" t="s">
        <v>316</v>
      </c>
      <c r="G42" s="43">
        <f t="shared" si="0"/>
        <v>442.6612903225806</v>
      </c>
      <c r="H42" s="34">
        <f t="shared" si="2"/>
        <v>2744.5</v>
      </c>
      <c r="J42" s="195">
        <v>1.35</v>
      </c>
      <c r="K42" s="195" t="s">
        <v>316</v>
      </c>
      <c r="L42" s="195">
        <v>434.99999999999994</v>
      </c>
      <c r="M42" s="195">
        <v>587.25</v>
      </c>
      <c r="O42" s="28">
        <v>0</v>
      </c>
      <c r="P42" s="28" t="s">
        <v>316</v>
      </c>
      <c r="Q42" s="28" t="e">
        <v>#DIV/0!</v>
      </c>
      <c r="R42" s="28">
        <v>0</v>
      </c>
      <c r="T42" s="223">
        <v>0</v>
      </c>
      <c r="U42" s="223" t="s">
        <v>316</v>
      </c>
      <c r="Y42" s="175">
        <v>0</v>
      </c>
      <c r="Z42" s="175" t="s">
        <v>316</v>
      </c>
      <c r="AA42" s="175" t="e">
        <v>#DIV/0!</v>
      </c>
      <c r="AB42" s="175">
        <v>0</v>
      </c>
      <c r="AD42" s="185">
        <v>0.35</v>
      </c>
      <c r="AE42" s="189" t="s">
        <v>316</v>
      </c>
      <c r="AF42" s="187">
        <v>435</v>
      </c>
      <c r="AG42" s="50">
        <v>152.25</v>
      </c>
      <c r="AI42" s="28">
        <v>1</v>
      </c>
      <c r="AJ42" s="28" t="s">
        <v>316</v>
      </c>
      <c r="AK42" s="28">
        <v>430</v>
      </c>
      <c r="AL42" s="28">
        <v>430</v>
      </c>
      <c r="AN42" s="42">
        <v>1</v>
      </c>
      <c r="AO42" s="124" t="s">
        <v>316</v>
      </c>
      <c r="AP42" s="43">
        <v>470</v>
      </c>
      <c r="AQ42" s="34">
        <v>470</v>
      </c>
      <c r="AS42" s="42">
        <v>1</v>
      </c>
      <c r="AT42" s="124" t="s">
        <v>316</v>
      </c>
      <c r="AU42" s="43">
        <v>430</v>
      </c>
      <c r="AV42" s="34">
        <v>430</v>
      </c>
      <c r="AX42" s="42"/>
      <c r="AY42" s="124" t="s">
        <v>316</v>
      </c>
      <c r="AZ42" s="43" t="e">
        <v>#DIV/0!</v>
      </c>
      <c r="BA42" s="34"/>
      <c r="BC42" s="42">
        <v>1.5</v>
      </c>
      <c r="BD42" s="124" t="s">
        <v>316</v>
      </c>
      <c r="BE42" s="43">
        <v>450</v>
      </c>
      <c r="BF42" s="42">
        <v>675</v>
      </c>
    </row>
    <row r="43" spans="1:58" ht="16.5">
      <c r="A43" s="4">
        <v>1</v>
      </c>
      <c r="B43" s="3" t="s">
        <v>3</v>
      </c>
      <c r="C43" s="4" t="s">
        <v>5</v>
      </c>
      <c r="D43" s="6" t="s">
        <v>62</v>
      </c>
      <c r="E43" s="42">
        <f t="shared" si="1"/>
        <v>4.75</v>
      </c>
      <c r="F43" s="125" t="s">
        <v>313</v>
      </c>
      <c r="G43" s="43">
        <f t="shared" si="0"/>
        <v>430</v>
      </c>
      <c r="H43" s="34">
        <f t="shared" si="2"/>
        <v>2042.5</v>
      </c>
      <c r="J43" s="195">
        <v>1.25</v>
      </c>
      <c r="K43" s="195" t="s">
        <v>313</v>
      </c>
      <c r="L43" s="195">
        <v>430</v>
      </c>
      <c r="M43" s="195">
        <v>537.5</v>
      </c>
      <c r="O43" s="28">
        <v>2</v>
      </c>
      <c r="P43" s="28" t="s">
        <v>313</v>
      </c>
      <c r="Q43" s="28">
        <v>430</v>
      </c>
      <c r="R43" s="28">
        <v>860</v>
      </c>
      <c r="T43" s="223">
        <v>0</v>
      </c>
      <c r="U43" s="223" t="s">
        <v>313</v>
      </c>
      <c r="Y43" s="175">
        <v>0.5</v>
      </c>
      <c r="Z43" s="175" t="s">
        <v>313</v>
      </c>
      <c r="AA43" s="175">
        <v>430</v>
      </c>
      <c r="AB43" s="175">
        <v>215</v>
      </c>
      <c r="AD43" s="185">
        <v>0</v>
      </c>
      <c r="AE43" s="188" t="s">
        <v>313</v>
      </c>
      <c r="AF43" s="187">
        <v>0</v>
      </c>
      <c r="AG43" s="50">
        <v>0</v>
      </c>
      <c r="AI43" s="28">
        <v>1</v>
      </c>
      <c r="AJ43" s="28" t="s">
        <v>313</v>
      </c>
      <c r="AK43" s="28">
        <v>430</v>
      </c>
      <c r="AL43" s="28">
        <v>430</v>
      </c>
      <c r="AN43" s="42"/>
      <c r="AO43" s="125" t="s">
        <v>313</v>
      </c>
      <c r="AP43" s="43" t="e">
        <v>#DIV/0!</v>
      </c>
      <c r="AQ43" s="34"/>
      <c r="AS43" s="42"/>
      <c r="AT43" s="125" t="s">
        <v>313</v>
      </c>
      <c r="AU43" s="43" t="e">
        <v>#DIV/0!</v>
      </c>
      <c r="AV43" s="34"/>
      <c r="AX43" s="42"/>
      <c r="AY43" s="125" t="s">
        <v>313</v>
      </c>
      <c r="AZ43" s="43" t="e">
        <v>#DIV/0!</v>
      </c>
      <c r="BA43" s="34"/>
      <c r="BC43" s="42">
        <v>0</v>
      </c>
      <c r="BD43" s="125" t="s">
        <v>313</v>
      </c>
      <c r="BE43" s="43" t="e">
        <v>#DIV/0!</v>
      </c>
      <c r="BF43" s="42">
        <v>0</v>
      </c>
    </row>
    <row r="44" spans="1:58" ht="16.5">
      <c r="A44" s="4">
        <v>1</v>
      </c>
      <c r="B44" s="3" t="s">
        <v>3</v>
      </c>
      <c r="C44" s="4" t="s">
        <v>5</v>
      </c>
      <c r="D44" s="6" t="s">
        <v>81</v>
      </c>
      <c r="E44" s="42">
        <f t="shared" si="1"/>
        <v>269.57</v>
      </c>
      <c r="F44" s="125" t="s">
        <v>313</v>
      </c>
      <c r="G44" s="43">
        <f t="shared" si="0"/>
        <v>432.88644878881183</v>
      </c>
      <c r="H44" s="34">
        <f t="shared" si="2"/>
        <v>116693.2</v>
      </c>
      <c r="J44" s="195">
        <v>65.3</v>
      </c>
      <c r="K44" s="195" t="s">
        <v>313</v>
      </c>
      <c r="L44" s="195">
        <v>433.82848392036755</v>
      </c>
      <c r="M44" s="195">
        <v>28329</v>
      </c>
      <c r="O44" s="28">
        <v>36.5</v>
      </c>
      <c r="P44" s="28" t="s">
        <v>313</v>
      </c>
      <c r="Q44" s="28">
        <v>430</v>
      </c>
      <c r="R44" s="28">
        <v>15695</v>
      </c>
      <c r="T44" s="223">
        <v>22.470000000000002</v>
      </c>
      <c r="U44" s="223" t="s">
        <v>313</v>
      </c>
      <c r="V44" s="223">
        <v>434.02314196706715</v>
      </c>
      <c r="W44" s="223">
        <v>9752.5</v>
      </c>
      <c r="Y44" s="175">
        <v>46.65</v>
      </c>
      <c r="Z44" s="175" t="s">
        <v>313</v>
      </c>
      <c r="AA44" s="175">
        <v>434.4587352625938</v>
      </c>
      <c r="AB44" s="175">
        <v>20267.5</v>
      </c>
      <c r="AD44" s="185">
        <v>51.050000000000004</v>
      </c>
      <c r="AE44" s="188" t="s">
        <v>313</v>
      </c>
      <c r="AF44" s="187">
        <v>430.7580803134182</v>
      </c>
      <c r="AG44" s="50">
        <v>21990.2</v>
      </c>
      <c r="AI44" s="28">
        <v>30.3</v>
      </c>
      <c r="AJ44" s="28" t="s">
        <v>313</v>
      </c>
      <c r="AK44" s="28">
        <v>431.1551155115512</v>
      </c>
      <c r="AL44" s="28">
        <v>13064</v>
      </c>
      <c r="AN44" s="42">
        <v>6.8</v>
      </c>
      <c r="AO44" s="125" t="s">
        <v>313</v>
      </c>
      <c r="AP44" s="43">
        <v>450</v>
      </c>
      <c r="AQ44" s="34">
        <v>3060</v>
      </c>
      <c r="AS44" s="42">
        <v>3</v>
      </c>
      <c r="AT44" s="125" t="s">
        <v>313</v>
      </c>
      <c r="AU44" s="43">
        <v>430</v>
      </c>
      <c r="AV44" s="34">
        <v>1290</v>
      </c>
      <c r="AX44" s="42"/>
      <c r="AY44" s="125" t="s">
        <v>313</v>
      </c>
      <c r="AZ44" s="43" t="e">
        <v>#DIV/0!</v>
      </c>
      <c r="BA44" s="34"/>
      <c r="BC44" s="42">
        <v>7.5</v>
      </c>
      <c r="BD44" s="125" t="s">
        <v>313</v>
      </c>
      <c r="BE44" s="43">
        <v>432.6666666666667</v>
      </c>
      <c r="BF44" s="42">
        <v>3245</v>
      </c>
    </row>
    <row r="45" spans="1:58" ht="16.5">
      <c r="A45" s="4">
        <v>1</v>
      </c>
      <c r="B45" s="3" t="s">
        <v>3</v>
      </c>
      <c r="C45" s="4" t="s">
        <v>5</v>
      </c>
      <c r="D45" s="6" t="s">
        <v>93</v>
      </c>
      <c r="E45" s="42">
        <f t="shared" si="1"/>
        <v>22.7</v>
      </c>
      <c r="F45" s="125" t="s">
        <v>313</v>
      </c>
      <c r="G45" s="43">
        <f t="shared" si="0"/>
        <v>441.44625550660794</v>
      </c>
      <c r="H45" s="34">
        <f t="shared" si="2"/>
        <v>10020.83</v>
      </c>
      <c r="J45" s="195">
        <v>2</v>
      </c>
      <c r="K45" s="195" t="s">
        <v>313</v>
      </c>
      <c r="L45" s="195">
        <v>430</v>
      </c>
      <c r="M45" s="195">
        <v>860</v>
      </c>
      <c r="O45" s="28">
        <v>1</v>
      </c>
      <c r="P45" s="28" t="s">
        <v>313</v>
      </c>
      <c r="Q45" s="28">
        <v>430</v>
      </c>
      <c r="R45" s="28">
        <v>430</v>
      </c>
      <c r="T45" s="223">
        <v>0</v>
      </c>
      <c r="U45" s="223" t="s">
        <v>313</v>
      </c>
      <c r="Y45" s="175">
        <v>0.5</v>
      </c>
      <c r="Z45" s="175" t="s">
        <v>313</v>
      </c>
      <c r="AA45" s="175">
        <v>430</v>
      </c>
      <c r="AB45" s="175">
        <v>215</v>
      </c>
      <c r="AD45" s="185">
        <v>2.2</v>
      </c>
      <c r="AE45" s="188" t="s">
        <v>313</v>
      </c>
      <c r="AF45" s="187">
        <v>429.99999999999994</v>
      </c>
      <c r="AG45" s="50">
        <v>946</v>
      </c>
      <c r="AI45" s="28">
        <v>1</v>
      </c>
      <c r="AJ45" s="28" t="s">
        <v>313</v>
      </c>
      <c r="AK45" s="28">
        <v>430</v>
      </c>
      <c r="AL45" s="28">
        <v>430</v>
      </c>
      <c r="AN45" s="42">
        <v>5</v>
      </c>
      <c r="AO45" s="125" t="s">
        <v>313</v>
      </c>
      <c r="AP45" s="43">
        <v>450</v>
      </c>
      <c r="AQ45" s="34">
        <v>2250</v>
      </c>
      <c r="AS45" s="42">
        <v>1</v>
      </c>
      <c r="AT45" s="125" t="s">
        <v>313</v>
      </c>
      <c r="AU45" s="43">
        <v>430</v>
      </c>
      <c r="AV45" s="34">
        <v>430</v>
      </c>
      <c r="AX45" s="42"/>
      <c r="AY45" s="125" t="s">
        <v>313</v>
      </c>
      <c r="AZ45" s="43" t="e">
        <v>#DIV/0!</v>
      </c>
      <c r="BA45" s="34"/>
      <c r="BC45" s="42">
        <v>10</v>
      </c>
      <c r="BD45" s="125" t="s">
        <v>313</v>
      </c>
      <c r="BE45" s="43">
        <v>445.983</v>
      </c>
      <c r="BF45" s="42">
        <v>4459.83</v>
      </c>
    </row>
    <row r="46" spans="1:58" ht="16.5">
      <c r="A46" s="4">
        <v>5</v>
      </c>
      <c r="B46" s="3" t="s">
        <v>49</v>
      </c>
      <c r="C46" s="4" t="s">
        <v>5</v>
      </c>
      <c r="D46" s="11" t="s">
        <v>55</v>
      </c>
      <c r="E46" s="42">
        <f t="shared" si="1"/>
        <v>5</v>
      </c>
      <c r="F46" s="124" t="s">
        <v>314</v>
      </c>
      <c r="G46" s="43">
        <f t="shared" si="0"/>
        <v>539.8199999999999</v>
      </c>
      <c r="H46" s="34">
        <f t="shared" si="2"/>
        <v>2699.1</v>
      </c>
      <c r="J46" s="195">
        <v>1</v>
      </c>
      <c r="K46" s="195" t="s">
        <v>314</v>
      </c>
      <c r="L46" s="195">
        <v>610</v>
      </c>
      <c r="M46" s="195">
        <v>610</v>
      </c>
      <c r="O46" s="28">
        <v>2</v>
      </c>
      <c r="P46" s="28" t="s">
        <v>314</v>
      </c>
      <c r="Q46" s="28">
        <f>R46/O46</f>
        <v>509.55</v>
      </c>
      <c r="R46" s="28">
        <v>1019.1</v>
      </c>
      <c r="T46" s="223">
        <v>1</v>
      </c>
      <c r="U46" s="223" t="s">
        <v>314</v>
      </c>
      <c r="V46" s="223">
        <v>610</v>
      </c>
      <c r="W46" s="223">
        <v>610</v>
      </c>
      <c r="Y46" s="175">
        <v>0</v>
      </c>
      <c r="Z46" s="175" t="s">
        <v>314</v>
      </c>
      <c r="AA46" s="175" t="e">
        <v>#DIV/0!</v>
      </c>
      <c r="AB46" s="175">
        <v>0</v>
      </c>
      <c r="AD46" s="185">
        <v>1</v>
      </c>
      <c r="AE46" s="189" t="s">
        <v>314</v>
      </c>
      <c r="AF46" s="187">
        <v>460</v>
      </c>
      <c r="AG46" s="50">
        <v>460</v>
      </c>
      <c r="AI46" s="28">
        <v>0</v>
      </c>
      <c r="AJ46" s="28" t="s">
        <v>314</v>
      </c>
      <c r="AK46" s="28" t="e">
        <v>#DIV/0!</v>
      </c>
      <c r="AL46" s="28">
        <v>0</v>
      </c>
      <c r="AN46" s="42"/>
      <c r="AO46" s="124" t="s">
        <v>314</v>
      </c>
      <c r="AP46" s="43" t="e">
        <v>#DIV/0!</v>
      </c>
      <c r="AQ46" s="34"/>
      <c r="AS46" s="42"/>
      <c r="AT46" s="124" t="s">
        <v>314</v>
      </c>
      <c r="AU46" s="43" t="e">
        <v>#DIV/0!</v>
      </c>
      <c r="AV46" s="34"/>
      <c r="AX46" s="42"/>
      <c r="AY46" s="124" t="s">
        <v>314</v>
      </c>
      <c r="AZ46" s="43" t="e">
        <v>#DIV/0!</v>
      </c>
      <c r="BA46" s="34"/>
      <c r="BC46" s="42">
        <v>0</v>
      </c>
      <c r="BD46" s="124" t="s">
        <v>314</v>
      </c>
      <c r="BE46" s="43" t="e">
        <v>#DIV/0!</v>
      </c>
      <c r="BF46" s="42">
        <v>0</v>
      </c>
    </row>
    <row r="47" spans="1:58" ht="33">
      <c r="A47" s="2">
        <v>7</v>
      </c>
      <c r="B47" s="3" t="s">
        <v>7</v>
      </c>
      <c r="C47" s="2" t="s">
        <v>5</v>
      </c>
      <c r="D47" s="6" t="s">
        <v>14</v>
      </c>
      <c r="E47" s="42">
        <f t="shared" si="1"/>
        <v>1.5</v>
      </c>
      <c r="F47" s="124" t="s">
        <v>316</v>
      </c>
      <c r="G47" s="43">
        <f t="shared" si="0"/>
        <v>469</v>
      </c>
      <c r="H47" s="34">
        <f t="shared" si="2"/>
        <v>703.5</v>
      </c>
      <c r="J47" s="195">
        <v>0.25</v>
      </c>
      <c r="K47" s="195" t="s">
        <v>316</v>
      </c>
      <c r="L47" s="195">
        <v>430</v>
      </c>
      <c r="M47" s="195">
        <v>107.5</v>
      </c>
      <c r="O47" s="28">
        <v>0.75</v>
      </c>
      <c r="P47" s="28" t="s">
        <v>316</v>
      </c>
      <c r="Q47" s="28">
        <v>486.6666666666667</v>
      </c>
      <c r="R47" s="28">
        <v>365</v>
      </c>
      <c r="T47" s="223">
        <v>0</v>
      </c>
      <c r="U47" s="223" t="s">
        <v>316</v>
      </c>
      <c r="Y47" s="175">
        <v>0</v>
      </c>
      <c r="Z47" s="175" t="s">
        <v>316</v>
      </c>
      <c r="AA47" s="175" t="e">
        <v>#DIV/0!</v>
      </c>
      <c r="AB47" s="175">
        <v>0</v>
      </c>
      <c r="AD47" s="185">
        <v>0</v>
      </c>
      <c r="AE47" s="189" t="s">
        <v>316</v>
      </c>
      <c r="AF47" s="187">
        <v>0</v>
      </c>
      <c r="AG47" s="50">
        <v>0</v>
      </c>
      <c r="AI47" s="28">
        <v>0</v>
      </c>
      <c r="AJ47" s="28" t="s">
        <v>316</v>
      </c>
      <c r="AK47" s="28" t="e">
        <v>#DIV/0!</v>
      </c>
      <c r="AL47" s="28">
        <v>0</v>
      </c>
      <c r="AN47" s="42">
        <v>0.5</v>
      </c>
      <c r="AO47" s="124" t="s">
        <v>316</v>
      </c>
      <c r="AP47" s="43">
        <v>462</v>
      </c>
      <c r="AQ47" s="34">
        <v>231</v>
      </c>
      <c r="AS47" s="42"/>
      <c r="AT47" s="124" t="s">
        <v>316</v>
      </c>
      <c r="AU47" s="43" t="e">
        <v>#DIV/0!</v>
      </c>
      <c r="AV47" s="34"/>
      <c r="AX47" s="42"/>
      <c r="AY47" s="124" t="s">
        <v>316</v>
      </c>
      <c r="AZ47" s="43" t="e">
        <v>#DIV/0!</v>
      </c>
      <c r="BA47" s="34"/>
      <c r="BC47" s="42">
        <v>0</v>
      </c>
      <c r="BD47" s="124" t="s">
        <v>316</v>
      </c>
      <c r="BE47" s="43" t="e">
        <v>#DIV/0!</v>
      </c>
      <c r="BF47" s="42">
        <v>0</v>
      </c>
    </row>
    <row r="48" spans="1:58" ht="33">
      <c r="A48" s="4">
        <v>7</v>
      </c>
      <c r="B48" s="3" t="s">
        <v>50</v>
      </c>
      <c r="C48" s="4" t="s">
        <v>10</v>
      </c>
      <c r="D48" s="6" t="s">
        <v>60</v>
      </c>
      <c r="E48" s="42">
        <f t="shared" si="1"/>
        <v>94.95</v>
      </c>
      <c r="F48" s="125" t="s">
        <v>309</v>
      </c>
      <c r="G48" s="43">
        <f t="shared" si="0"/>
        <v>752.0855186940495</v>
      </c>
      <c r="H48" s="34">
        <f t="shared" si="2"/>
        <v>71410.52</v>
      </c>
      <c r="J48" s="195">
        <v>22.25</v>
      </c>
      <c r="K48" s="195" t="s">
        <v>309</v>
      </c>
      <c r="L48" s="195">
        <v>763.1393258426965</v>
      </c>
      <c r="M48" s="195">
        <v>16979.85</v>
      </c>
      <c r="O48" s="28">
        <v>13.25</v>
      </c>
      <c r="P48" s="28" t="s">
        <v>309</v>
      </c>
      <c r="Q48" s="28">
        <v>735.0679245283019</v>
      </c>
      <c r="R48" s="28">
        <v>9739.65</v>
      </c>
      <c r="T48" s="223">
        <v>7.1</v>
      </c>
      <c r="U48" s="223" t="s">
        <v>309</v>
      </c>
      <c r="V48" s="223">
        <v>755.8000000000001</v>
      </c>
      <c r="W48" s="223">
        <v>5366.18</v>
      </c>
      <c r="Y48" s="175">
        <v>19.35</v>
      </c>
      <c r="Z48" s="175" t="s">
        <v>309</v>
      </c>
      <c r="AA48" s="175">
        <v>744.8904392764858</v>
      </c>
      <c r="AB48" s="175">
        <v>14413.630000000001</v>
      </c>
      <c r="AD48" s="185">
        <v>15.5</v>
      </c>
      <c r="AE48" s="188" t="s">
        <v>309</v>
      </c>
      <c r="AF48" s="187">
        <v>759.0393548387098</v>
      </c>
      <c r="AG48" s="50">
        <v>11765.11</v>
      </c>
      <c r="AI48" s="28">
        <v>11</v>
      </c>
      <c r="AJ48" s="28" t="s">
        <v>309</v>
      </c>
      <c r="AK48" s="28">
        <v>716.8272727272728</v>
      </c>
      <c r="AL48" s="28">
        <v>7885.1</v>
      </c>
      <c r="AN48" s="42">
        <v>2.5</v>
      </c>
      <c r="AO48" s="125" t="s">
        <v>309</v>
      </c>
      <c r="AP48" s="43">
        <v>850</v>
      </c>
      <c r="AQ48" s="34">
        <v>2125</v>
      </c>
      <c r="AS48" s="42">
        <v>1</v>
      </c>
      <c r="AT48" s="125" t="s">
        <v>309</v>
      </c>
      <c r="AU48" s="43">
        <v>850</v>
      </c>
      <c r="AV48" s="34">
        <v>850</v>
      </c>
      <c r="AX48" s="42"/>
      <c r="AY48" s="125" t="s">
        <v>309</v>
      </c>
      <c r="AZ48" s="43" t="e">
        <v>#DIV/0!</v>
      </c>
      <c r="BA48" s="34"/>
      <c r="BC48" s="42">
        <v>3</v>
      </c>
      <c r="BD48" s="125" t="s">
        <v>309</v>
      </c>
      <c r="BE48" s="43">
        <v>762</v>
      </c>
      <c r="BF48" s="42">
        <v>2286</v>
      </c>
    </row>
    <row r="49" spans="1:58" ht="33">
      <c r="A49" s="4">
        <v>7</v>
      </c>
      <c r="B49" s="3" t="s">
        <v>50</v>
      </c>
      <c r="C49" s="4" t="s">
        <v>10</v>
      </c>
      <c r="D49" s="6" t="s">
        <v>80</v>
      </c>
      <c r="E49" s="42">
        <f t="shared" si="1"/>
        <v>42.11</v>
      </c>
      <c r="F49" s="119" t="s">
        <v>315</v>
      </c>
      <c r="G49" s="43">
        <f t="shared" si="0"/>
        <v>581.3345998575161</v>
      </c>
      <c r="H49" s="34">
        <f t="shared" si="2"/>
        <v>24480</v>
      </c>
      <c r="J49" s="195">
        <v>5.9</v>
      </c>
      <c r="K49" s="195" t="s">
        <v>315</v>
      </c>
      <c r="L49" s="195">
        <v>570.1694915254237</v>
      </c>
      <c r="M49" s="195">
        <v>3364</v>
      </c>
      <c r="O49" s="28">
        <v>6.36</v>
      </c>
      <c r="P49" s="28" t="s">
        <v>315</v>
      </c>
      <c r="Q49" s="28">
        <v>626.0267295597483</v>
      </c>
      <c r="R49" s="28">
        <v>3981.5299999999997</v>
      </c>
      <c r="T49" s="223">
        <v>5.4</v>
      </c>
      <c r="U49" s="223" t="s">
        <v>315</v>
      </c>
      <c r="V49" s="223">
        <v>599.4314814814815</v>
      </c>
      <c r="W49" s="223">
        <v>3236.9300000000003</v>
      </c>
      <c r="Y49" s="175">
        <f>10.95+0.5</f>
        <v>11.45</v>
      </c>
      <c r="Z49" s="175" t="s">
        <v>315</v>
      </c>
      <c r="AA49" s="175">
        <v>601.6100456621006</v>
      </c>
      <c r="AB49" s="175">
        <f>6587.63+245.9</f>
        <v>6833.53</v>
      </c>
      <c r="AD49" s="185">
        <v>7</v>
      </c>
      <c r="AE49" s="186" t="s">
        <v>315</v>
      </c>
      <c r="AF49" s="187">
        <v>523</v>
      </c>
      <c r="AG49" s="50">
        <v>3661</v>
      </c>
      <c r="AI49" s="28">
        <v>5</v>
      </c>
      <c r="AJ49" s="28" t="s">
        <v>315</v>
      </c>
      <c r="AK49" s="28">
        <v>556.6020000000001</v>
      </c>
      <c r="AL49" s="28">
        <v>2783.01</v>
      </c>
      <c r="AN49" s="42"/>
      <c r="AO49" s="119" t="s">
        <v>315</v>
      </c>
      <c r="AP49" s="43" t="e">
        <v>#DIV/0!</v>
      </c>
      <c r="AQ49" s="34"/>
      <c r="AS49" s="42"/>
      <c r="AT49" s="119" t="s">
        <v>315</v>
      </c>
      <c r="AU49" s="43" t="e">
        <v>#DIV/0!</v>
      </c>
      <c r="AV49" s="34"/>
      <c r="AX49" s="42"/>
      <c r="AY49" s="119" t="s">
        <v>315</v>
      </c>
      <c r="AZ49" s="43" t="e">
        <v>#DIV/0!</v>
      </c>
      <c r="BA49" s="34"/>
      <c r="BC49" s="42">
        <v>1</v>
      </c>
      <c r="BD49" s="119" t="s">
        <v>315</v>
      </c>
      <c r="BE49" s="43">
        <v>620</v>
      </c>
      <c r="BF49" s="42">
        <v>620</v>
      </c>
    </row>
    <row r="50" spans="1:58" ht="49.5">
      <c r="A50" s="4">
        <v>6</v>
      </c>
      <c r="B50" s="3" t="s">
        <v>27</v>
      </c>
      <c r="C50" s="4" t="s">
        <v>5</v>
      </c>
      <c r="D50" s="6" t="s">
        <v>35</v>
      </c>
      <c r="E50" s="42">
        <f t="shared" si="1"/>
        <v>9.75</v>
      </c>
      <c r="F50" s="119" t="s">
        <v>315</v>
      </c>
      <c r="G50" s="43">
        <f t="shared" si="0"/>
        <v>620.091282051282</v>
      </c>
      <c r="H50" s="34">
        <f t="shared" si="2"/>
        <v>6045.889999999999</v>
      </c>
      <c r="J50" s="195">
        <v>5</v>
      </c>
      <c r="K50" s="195" t="s">
        <v>315</v>
      </c>
      <c r="L50" s="195">
        <v>611.4</v>
      </c>
      <c r="M50" s="195">
        <v>3057</v>
      </c>
      <c r="O50" s="28">
        <v>0</v>
      </c>
      <c r="P50" s="28" t="s">
        <v>315</v>
      </c>
      <c r="Q50" s="28" t="e">
        <v>#DIV/0!</v>
      </c>
      <c r="R50" s="28">
        <v>0</v>
      </c>
      <c r="T50" s="223">
        <v>1</v>
      </c>
      <c r="U50" s="223" t="s">
        <v>315</v>
      </c>
      <c r="V50" s="223">
        <v>594.89</v>
      </c>
      <c r="W50" s="223">
        <v>594.89</v>
      </c>
      <c r="Y50" s="175">
        <v>1.75</v>
      </c>
      <c r="Z50" s="175" t="s">
        <v>315</v>
      </c>
      <c r="AA50" s="175">
        <v>617.7142857142857</v>
      </c>
      <c r="AB50" s="175">
        <v>1081</v>
      </c>
      <c r="AD50" s="185">
        <v>0</v>
      </c>
      <c r="AE50" s="186" t="s">
        <v>315</v>
      </c>
      <c r="AF50" s="187">
        <v>0</v>
      </c>
      <c r="AG50" s="50">
        <v>0</v>
      </c>
      <c r="AI50" s="28">
        <v>2</v>
      </c>
      <c r="AJ50" s="28" t="s">
        <v>315</v>
      </c>
      <c r="AK50" s="28">
        <v>656.5</v>
      </c>
      <c r="AL50" s="28">
        <v>1313</v>
      </c>
      <c r="AN50" s="42"/>
      <c r="AO50" s="119" t="s">
        <v>315</v>
      </c>
      <c r="AP50" s="43" t="e">
        <v>#DIV/0!</v>
      </c>
      <c r="AQ50" s="34"/>
      <c r="AS50" s="42"/>
      <c r="AT50" s="119" t="s">
        <v>315</v>
      </c>
      <c r="AU50" s="43" t="e">
        <v>#DIV/0!</v>
      </c>
      <c r="AV50" s="34"/>
      <c r="AX50" s="42"/>
      <c r="AY50" s="119" t="s">
        <v>315</v>
      </c>
      <c r="AZ50" s="43" t="e">
        <v>#DIV/0!</v>
      </c>
      <c r="BA50" s="34"/>
      <c r="BC50" s="42">
        <v>0</v>
      </c>
      <c r="BD50" s="119" t="s">
        <v>315</v>
      </c>
      <c r="BE50" s="43" t="e">
        <v>#DIV/0!</v>
      </c>
      <c r="BF50" s="42">
        <v>0</v>
      </c>
    </row>
    <row r="51" spans="1:58" ht="33">
      <c r="A51" s="4">
        <v>8</v>
      </c>
      <c r="B51" s="3" t="s">
        <v>47</v>
      </c>
      <c r="C51" s="4" t="s">
        <v>10</v>
      </c>
      <c r="D51" s="6" t="s">
        <v>52</v>
      </c>
      <c r="E51" s="42">
        <f t="shared" si="1"/>
        <v>0</v>
      </c>
      <c r="F51" s="119" t="s">
        <v>307</v>
      </c>
      <c r="G51" s="43">
        <v>0</v>
      </c>
      <c r="H51" s="34">
        <f t="shared" si="2"/>
        <v>0</v>
      </c>
      <c r="J51" s="195">
        <v>0</v>
      </c>
      <c r="K51" s="195" t="s">
        <v>307</v>
      </c>
      <c r="L51" s="195" t="e">
        <v>#DIV/0!</v>
      </c>
      <c r="M51" s="195">
        <v>0</v>
      </c>
      <c r="O51" s="28">
        <v>0</v>
      </c>
      <c r="P51" s="28" t="s">
        <v>307</v>
      </c>
      <c r="Q51" s="28" t="e">
        <v>#DIV/0!</v>
      </c>
      <c r="R51" s="28">
        <v>0</v>
      </c>
      <c r="T51" s="223">
        <v>0</v>
      </c>
      <c r="U51" s="223" t="s">
        <v>307</v>
      </c>
      <c r="Y51" s="175">
        <v>0</v>
      </c>
      <c r="Z51" s="175" t="s">
        <v>307</v>
      </c>
      <c r="AA51" s="175" t="e">
        <v>#DIV/0!</v>
      </c>
      <c r="AB51" s="175">
        <v>0</v>
      </c>
      <c r="AD51" s="185">
        <v>0</v>
      </c>
      <c r="AE51" s="186" t="s">
        <v>307</v>
      </c>
      <c r="AF51" s="187">
        <v>0</v>
      </c>
      <c r="AG51" s="50">
        <v>0</v>
      </c>
      <c r="AI51" s="28">
        <v>0</v>
      </c>
      <c r="AJ51" s="28" t="s">
        <v>307</v>
      </c>
      <c r="AK51" s="28" t="e">
        <v>#DIV/0!</v>
      </c>
      <c r="AL51" s="28">
        <v>0</v>
      </c>
      <c r="AN51" s="42"/>
      <c r="AO51" s="119" t="s">
        <v>307</v>
      </c>
      <c r="AP51" s="43" t="e">
        <v>#DIV/0!</v>
      </c>
      <c r="AQ51" s="34"/>
      <c r="AS51" s="42"/>
      <c r="AT51" s="119" t="s">
        <v>307</v>
      </c>
      <c r="AU51" s="43" t="e">
        <v>#DIV/0!</v>
      </c>
      <c r="AV51" s="34"/>
      <c r="AX51" s="42"/>
      <c r="AY51" s="119" t="s">
        <v>307</v>
      </c>
      <c r="AZ51" s="43" t="e">
        <v>#DIV/0!</v>
      </c>
      <c r="BA51" s="34"/>
      <c r="BC51" s="42">
        <v>0</v>
      </c>
      <c r="BD51" s="119" t="s">
        <v>307</v>
      </c>
      <c r="BE51" s="43" t="e">
        <v>#DIV/0!</v>
      </c>
      <c r="BF51" s="42">
        <v>0</v>
      </c>
    </row>
    <row r="52" spans="1:58" ht="16.5">
      <c r="A52" s="4">
        <v>4</v>
      </c>
      <c r="B52" s="4" t="s">
        <v>67</v>
      </c>
      <c r="C52" s="4" t="s">
        <v>5</v>
      </c>
      <c r="D52" s="6" t="s">
        <v>83</v>
      </c>
      <c r="E52" s="42">
        <f t="shared" si="1"/>
        <v>68</v>
      </c>
      <c r="F52" s="124" t="s">
        <v>316</v>
      </c>
      <c r="G52" s="43">
        <f t="shared" si="0"/>
        <v>504</v>
      </c>
      <c r="H52" s="34">
        <f t="shared" si="2"/>
        <v>34272</v>
      </c>
      <c r="J52" s="195">
        <v>30</v>
      </c>
      <c r="K52" s="195" t="s">
        <v>316</v>
      </c>
      <c r="L52" s="195">
        <v>504</v>
      </c>
      <c r="M52" s="195">
        <v>15120</v>
      </c>
      <c r="O52" s="28">
        <v>15</v>
      </c>
      <c r="P52" s="28" t="s">
        <v>316</v>
      </c>
      <c r="Q52" s="28">
        <v>504</v>
      </c>
      <c r="R52" s="28">
        <v>7560</v>
      </c>
      <c r="T52" s="223">
        <v>0</v>
      </c>
      <c r="U52" s="223" t="s">
        <v>316</v>
      </c>
      <c r="Y52" s="175">
        <v>4</v>
      </c>
      <c r="Z52" s="175" t="s">
        <v>316</v>
      </c>
      <c r="AA52" s="175">
        <v>504</v>
      </c>
      <c r="AB52" s="175">
        <v>2016</v>
      </c>
      <c r="AD52" s="185">
        <v>6</v>
      </c>
      <c r="AE52" s="189" t="s">
        <v>316</v>
      </c>
      <c r="AF52" s="187">
        <v>504</v>
      </c>
      <c r="AG52" s="50">
        <v>3024</v>
      </c>
      <c r="AI52" s="28">
        <v>10</v>
      </c>
      <c r="AJ52" s="28" t="s">
        <v>316</v>
      </c>
      <c r="AK52" s="28">
        <v>504</v>
      </c>
      <c r="AL52" s="28">
        <v>5040</v>
      </c>
      <c r="AN52" s="42"/>
      <c r="AO52" s="124" t="s">
        <v>316</v>
      </c>
      <c r="AP52" s="43" t="e">
        <v>#DIV/0!</v>
      </c>
      <c r="AQ52" s="34"/>
      <c r="AS52" s="42"/>
      <c r="AT52" s="124" t="s">
        <v>316</v>
      </c>
      <c r="AU52" s="43" t="e">
        <v>#DIV/0!</v>
      </c>
      <c r="AV52" s="34"/>
      <c r="AX52" s="42"/>
      <c r="AY52" s="124" t="s">
        <v>316</v>
      </c>
      <c r="AZ52" s="43" t="e">
        <v>#DIV/0!</v>
      </c>
      <c r="BA52" s="34"/>
      <c r="BC52" s="42">
        <v>3</v>
      </c>
      <c r="BD52" s="124" t="s">
        <v>316</v>
      </c>
      <c r="BE52" s="43">
        <v>504</v>
      </c>
      <c r="BF52" s="42">
        <v>1512</v>
      </c>
    </row>
    <row r="53" spans="1:58" ht="16.5">
      <c r="A53" s="2">
        <v>6</v>
      </c>
      <c r="B53" s="3" t="s">
        <v>66</v>
      </c>
      <c r="C53" s="2" t="s">
        <v>5</v>
      </c>
      <c r="D53" s="6" t="s">
        <v>75</v>
      </c>
      <c r="E53" s="42">
        <f t="shared" si="1"/>
        <v>21.65</v>
      </c>
      <c r="F53" s="119" t="s">
        <v>315</v>
      </c>
      <c r="G53" s="43">
        <f t="shared" si="0"/>
        <v>605.1468822170901</v>
      </c>
      <c r="H53" s="34">
        <f t="shared" si="2"/>
        <v>13101.43</v>
      </c>
      <c r="J53" s="195">
        <v>7</v>
      </c>
      <c r="K53" s="195" t="s">
        <v>315</v>
      </c>
      <c r="L53" s="195">
        <v>591</v>
      </c>
      <c r="M53" s="195">
        <v>4137</v>
      </c>
      <c r="O53" s="28">
        <v>1</v>
      </c>
      <c r="P53" s="28" t="s">
        <v>315</v>
      </c>
      <c r="Q53" s="28">
        <v>591</v>
      </c>
      <c r="R53" s="28">
        <v>591</v>
      </c>
      <c r="T53" s="223">
        <v>0.5</v>
      </c>
      <c r="U53" s="223" t="s">
        <v>315</v>
      </c>
      <c r="V53" s="223">
        <v>670</v>
      </c>
      <c r="W53" s="223">
        <v>335</v>
      </c>
      <c r="Y53" s="175">
        <f>3.6+1</f>
        <v>4.6</v>
      </c>
      <c r="Z53" s="175" t="s">
        <v>315</v>
      </c>
      <c r="AA53" s="175">
        <v>673.8888888888889</v>
      </c>
      <c r="AB53" s="175">
        <f>2426+610</f>
        <v>3036</v>
      </c>
      <c r="AD53" s="185">
        <v>4.1</v>
      </c>
      <c r="AE53" s="186" t="s">
        <v>315</v>
      </c>
      <c r="AF53" s="187">
        <v>545.2439024390244</v>
      </c>
      <c r="AG53" s="50">
        <v>2235.5</v>
      </c>
      <c r="AI53" s="28">
        <v>3.45</v>
      </c>
      <c r="AJ53" s="28" t="s">
        <v>315</v>
      </c>
      <c r="AK53" s="28">
        <v>599.1101449275363</v>
      </c>
      <c r="AL53" s="28">
        <v>2066.9300000000003</v>
      </c>
      <c r="AN53" s="42"/>
      <c r="AO53" s="119" t="s">
        <v>315</v>
      </c>
      <c r="AP53" s="43" t="e">
        <v>#DIV/0!</v>
      </c>
      <c r="AQ53" s="34"/>
      <c r="AS53" s="42"/>
      <c r="AT53" s="119" t="s">
        <v>315</v>
      </c>
      <c r="AU53" s="43" t="e">
        <v>#DIV/0!</v>
      </c>
      <c r="AV53" s="34"/>
      <c r="AX53" s="42"/>
      <c r="AY53" s="119" t="s">
        <v>315</v>
      </c>
      <c r="AZ53" s="43" t="e">
        <v>#DIV/0!</v>
      </c>
      <c r="BA53" s="34"/>
      <c r="BC53" s="42">
        <v>1</v>
      </c>
      <c r="BD53" s="119" t="s">
        <v>315</v>
      </c>
      <c r="BE53" s="43">
        <v>700</v>
      </c>
      <c r="BF53" s="42">
        <v>700</v>
      </c>
    </row>
    <row r="54" spans="1:58" ht="16.5">
      <c r="A54" s="4">
        <v>8</v>
      </c>
      <c r="B54" s="4" t="s">
        <v>29</v>
      </c>
      <c r="C54" s="4" t="s">
        <v>10</v>
      </c>
      <c r="D54" s="6" t="s">
        <v>39</v>
      </c>
      <c r="E54" s="42">
        <f t="shared" si="1"/>
        <v>1.5</v>
      </c>
      <c r="F54" s="119" t="s">
        <v>309</v>
      </c>
      <c r="G54" s="43">
        <f t="shared" si="0"/>
        <v>720</v>
      </c>
      <c r="H54" s="34">
        <f t="shared" si="2"/>
        <v>1080</v>
      </c>
      <c r="J54" s="195">
        <v>0</v>
      </c>
      <c r="K54" s="195" t="s">
        <v>309</v>
      </c>
      <c r="L54" s="195" t="e">
        <v>#DIV/0!</v>
      </c>
      <c r="M54" s="195">
        <v>0</v>
      </c>
      <c r="O54" s="28">
        <v>0</v>
      </c>
      <c r="P54" s="28" t="s">
        <v>309</v>
      </c>
      <c r="Q54" s="28" t="e">
        <v>#DIV/0!</v>
      </c>
      <c r="R54" s="28">
        <v>0</v>
      </c>
      <c r="T54" s="223">
        <v>0</v>
      </c>
      <c r="U54" s="223" t="s">
        <v>309</v>
      </c>
      <c r="Y54" s="175">
        <v>0</v>
      </c>
      <c r="Z54" s="175" t="s">
        <v>309</v>
      </c>
      <c r="AA54" s="175" t="e">
        <v>#DIV/0!</v>
      </c>
      <c r="AB54" s="175">
        <v>0</v>
      </c>
      <c r="AD54" s="185">
        <v>0</v>
      </c>
      <c r="AE54" s="186" t="s">
        <v>309</v>
      </c>
      <c r="AF54" s="187">
        <v>0</v>
      </c>
      <c r="AG54" s="50">
        <v>0</v>
      </c>
      <c r="AI54" s="28">
        <v>0</v>
      </c>
      <c r="AJ54" s="28" t="s">
        <v>309</v>
      </c>
      <c r="AK54" s="28" t="e">
        <v>#DIV/0!</v>
      </c>
      <c r="AL54" s="28">
        <v>0</v>
      </c>
      <c r="AN54" s="42">
        <v>1.5</v>
      </c>
      <c r="AO54" s="119" t="s">
        <v>309</v>
      </c>
      <c r="AP54" s="43">
        <v>720</v>
      </c>
      <c r="AQ54" s="34">
        <v>1080</v>
      </c>
      <c r="AS54" s="42"/>
      <c r="AT54" s="119" t="s">
        <v>309</v>
      </c>
      <c r="AU54" s="43" t="e">
        <v>#DIV/0!</v>
      </c>
      <c r="AV54" s="34"/>
      <c r="AX54" s="42"/>
      <c r="AY54" s="119" t="s">
        <v>309</v>
      </c>
      <c r="AZ54" s="43" t="e">
        <v>#DIV/0!</v>
      </c>
      <c r="BA54" s="34"/>
      <c r="BC54" s="42">
        <v>0</v>
      </c>
      <c r="BD54" s="119" t="s">
        <v>309</v>
      </c>
      <c r="BE54" s="43" t="e">
        <v>#DIV/0!</v>
      </c>
      <c r="BF54" s="42">
        <v>0</v>
      </c>
    </row>
    <row r="55" spans="1:58" ht="16.5">
      <c r="A55" s="4">
        <v>8</v>
      </c>
      <c r="B55" s="3" t="s">
        <v>29</v>
      </c>
      <c r="C55" s="4" t="s">
        <v>10</v>
      </c>
      <c r="D55" s="11" t="s">
        <v>56</v>
      </c>
      <c r="E55" s="42">
        <f t="shared" si="1"/>
        <v>0.5</v>
      </c>
      <c r="F55" s="119" t="s">
        <v>309</v>
      </c>
      <c r="G55" s="43">
        <f t="shared" si="0"/>
        <v>535</v>
      </c>
      <c r="H55" s="34">
        <f t="shared" si="2"/>
        <v>267.5</v>
      </c>
      <c r="J55" s="195">
        <v>0</v>
      </c>
      <c r="K55" s="195" t="s">
        <v>309</v>
      </c>
      <c r="L55" s="195" t="e">
        <v>#DIV/0!</v>
      </c>
      <c r="M55" s="195">
        <v>0</v>
      </c>
      <c r="O55" s="28">
        <v>0</v>
      </c>
      <c r="P55" s="28" t="s">
        <v>309</v>
      </c>
      <c r="Q55" s="28" t="e">
        <v>#DIV/0!</v>
      </c>
      <c r="R55" s="28">
        <v>0</v>
      </c>
      <c r="T55" s="223">
        <v>0</v>
      </c>
      <c r="U55" s="223" t="s">
        <v>309</v>
      </c>
      <c r="Y55" s="175">
        <v>0</v>
      </c>
      <c r="Z55" s="175" t="s">
        <v>309</v>
      </c>
      <c r="AA55" s="175" t="e">
        <v>#DIV/0!</v>
      </c>
      <c r="AB55" s="175">
        <v>0</v>
      </c>
      <c r="AD55" s="185">
        <v>0</v>
      </c>
      <c r="AE55" s="186" t="s">
        <v>309</v>
      </c>
      <c r="AF55" s="187">
        <v>0</v>
      </c>
      <c r="AG55" s="50">
        <v>0</v>
      </c>
      <c r="AI55" s="28">
        <v>0</v>
      </c>
      <c r="AJ55" s="28" t="s">
        <v>309</v>
      </c>
      <c r="AK55" s="28" t="e">
        <v>#DIV/0!</v>
      </c>
      <c r="AL55" s="28">
        <v>0</v>
      </c>
      <c r="AN55" s="42">
        <v>0.5</v>
      </c>
      <c r="AO55" s="119" t="s">
        <v>309</v>
      </c>
      <c r="AP55" s="43">
        <v>535</v>
      </c>
      <c r="AQ55" s="34">
        <v>267.5</v>
      </c>
      <c r="AS55" s="42"/>
      <c r="AT55" s="119" t="s">
        <v>309</v>
      </c>
      <c r="AU55" s="43" t="e">
        <v>#DIV/0!</v>
      </c>
      <c r="AV55" s="34"/>
      <c r="AX55" s="42"/>
      <c r="AY55" s="119" t="s">
        <v>309</v>
      </c>
      <c r="AZ55" s="43" t="e">
        <v>#DIV/0!</v>
      </c>
      <c r="BA55" s="34"/>
      <c r="BC55" s="42">
        <v>0</v>
      </c>
      <c r="BD55" s="119" t="s">
        <v>309</v>
      </c>
      <c r="BE55" s="43" t="e">
        <v>#DIV/0!</v>
      </c>
      <c r="BF55" s="42">
        <v>0</v>
      </c>
    </row>
    <row r="56" spans="1:58" ht="16.5">
      <c r="A56" s="4">
        <v>6</v>
      </c>
      <c r="B56" s="3" t="s">
        <v>29</v>
      </c>
      <c r="C56" s="4" t="s">
        <v>65</v>
      </c>
      <c r="D56" s="11" t="s">
        <v>72</v>
      </c>
      <c r="E56" s="42">
        <f t="shared" si="1"/>
        <v>1.7999999999999998</v>
      </c>
      <c r="F56" s="119" t="s">
        <v>315</v>
      </c>
      <c r="G56" s="43">
        <f t="shared" si="0"/>
        <v>631.7777777777778</v>
      </c>
      <c r="H56" s="34">
        <f t="shared" si="2"/>
        <v>1137.2</v>
      </c>
      <c r="J56" s="195">
        <v>0.35</v>
      </c>
      <c r="K56" s="195" t="s">
        <v>315</v>
      </c>
      <c r="L56" s="195">
        <v>614.2857142857143</v>
      </c>
      <c r="M56" s="195">
        <v>215</v>
      </c>
      <c r="O56" s="28">
        <v>0</v>
      </c>
      <c r="P56" s="28" t="s">
        <v>315</v>
      </c>
      <c r="Q56" s="28" t="e">
        <v>#DIV/0!</v>
      </c>
      <c r="R56" s="28">
        <v>0</v>
      </c>
      <c r="T56" s="223">
        <v>0.7</v>
      </c>
      <c r="U56" s="223" t="s">
        <v>315</v>
      </c>
      <c r="V56" s="223">
        <v>587.1428571428572</v>
      </c>
      <c r="W56" s="223">
        <v>411</v>
      </c>
      <c r="Y56" s="175">
        <v>0</v>
      </c>
      <c r="Z56" s="175" t="s">
        <v>315</v>
      </c>
      <c r="AA56" s="175" t="e">
        <v>#DIV/0!</v>
      </c>
      <c r="AB56" s="175">
        <v>0</v>
      </c>
      <c r="AD56" s="185">
        <v>0.75</v>
      </c>
      <c r="AE56" s="186" t="s">
        <v>315</v>
      </c>
      <c r="AF56" s="187">
        <v>681.6</v>
      </c>
      <c r="AG56" s="50">
        <v>511.2</v>
      </c>
      <c r="AI56" s="28">
        <v>0</v>
      </c>
      <c r="AJ56" s="28" t="s">
        <v>315</v>
      </c>
      <c r="AK56" s="28" t="e">
        <v>#DIV/0!</v>
      </c>
      <c r="AL56" s="28">
        <v>0</v>
      </c>
      <c r="AN56" s="42"/>
      <c r="AO56" s="119" t="s">
        <v>315</v>
      </c>
      <c r="AP56" s="43" t="e">
        <v>#DIV/0!</v>
      </c>
      <c r="AQ56" s="34"/>
      <c r="AS56" s="42"/>
      <c r="AT56" s="119" t="s">
        <v>315</v>
      </c>
      <c r="AU56" s="43" t="e">
        <v>#DIV/0!</v>
      </c>
      <c r="AV56" s="34"/>
      <c r="AX56" s="42"/>
      <c r="AY56" s="119" t="s">
        <v>315</v>
      </c>
      <c r="AZ56" s="43" t="e">
        <v>#DIV/0!</v>
      </c>
      <c r="BA56" s="34"/>
      <c r="BC56" s="42">
        <v>0</v>
      </c>
      <c r="BD56" s="119" t="s">
        <v>315</v>
      </c>
      <c r="BE56" s="43" t="e">
        <v>#DIV/0!</v>
      </c>
      <c r="BF56" s="42">
        <v>0</v>
      </c>
    </row>
    <row r="57" spans="1:58" ht="16.5">
      <c r="A57" s="4">
        <v>5</v>
      </c>
      <c r="B57" s="3" t="s">
        <v>8</v>
      </c>
      <c r="C57" s="4" t="s">
        <v>6</v>
      </c>
      <c r="D57" s="6" t="s">
        <v>85</v>
      </c>
      <c r="E57" s="42">
        <f t="shared" si="1"/>
        <v>9.65</v>
      </c>
      <c r="F57" s="119" t="s">
        <v>315</v>
      </c>
      <c r="G57" s="43">
        <f t="shared" si="0"/>
        <v>437.07150259067356</v>
      </c>
      <c r="H57" s="34">
        <f t="shared" si="2"/>
        <v>4217.74</v>
      </c>
      <c r="J57" s="195">
        <v>0</v>
      </c>
      <c r="K57" s="195" t="s">
        <v>315</v>
      </c>
      <c r="L57" s="195" t="e">
        <v>#DIV/0!</v>
      </c>
      <c r="M57" s="195">
        <v>0</v>
      </c>
      <c r="O57" s="28">
        <v>0.25</v>
      </c>
      <c r="P57" s="28" t="s">
        <v>315</v>
      </c>
      <c r="Q57" s="28">
        <v>702.96</v>
      </c>
      <c r="R57" s="28">
        <v>175.74</v>
      </c>
      <c r="T57" s="223">
        <v>0</v>
      </c>
      <c r="U57" s="223" t="s">
        <v>315</v>
      </c>
      <c r="Y57" s="175">
        <v>0</v>
      </c>
      <c r="Z57" s="175" t="s">
        <v>315</v>
      </c>
      <c r="AA57" s="175" t="e">
        <v>#DIV/0!</v>
      </c>
      <c r="AB57" s="175">
        <v>0</v>
      </c>
      <c r="AD57" s="185">
        <v>0</v>
      </c>
      <c r="AE57" s="186" t="s">
        <v>315</v>
      </c>
      <c r="AF57" s="187">
        <v>0</v>
      </c>
      <c r="AG57" s="50">
        <v>0</v>
      </c>
      <c r="AI57" s="28">
        <v>0</v>
      </c>
      <c r="AJ57" s="28" t="s">
        <v>315</v>
      </c>
      <c r="AK57" s="28" t="e">
        <v>#DIV/0!</v>
      </c>
      <c r="AL57" s="28">
        <v>0</v>
      </c>
      <c r="AN57" s="42"/>
      <c r="AO57" s="119" t="s">
        <v>315</v>
      </c>
      <c r="AP57" s="43" t="e">
        <v>#DIV/0!</v>
      </c>
      <c r="AQ57" s="34"/>
      <c r="AS57" s="42"/>
      <c r="AT57" s="119" t="s">
        <v>315</v>
      </c>
      <c r="AU57" s="43" t="e">
        <v>#DIV/0!</v>
      </c>
      <c r="AV57" s="34"/>
      <c r="AX57" s="42"/>
      <c r="AY57" s="119" t="s">
        <v>315</v>
      </c>
      <c r="AZ57" s="43" t="e">
        <v>#DIV/0!</v>
      </c>
      <c r="BA57" s="34"/>
      <c r="BC57" s="42">
        <v>9.4</v>
      </c>
      <c r="BD57" s="119" t="s">
        <v>315</v>
      </c>
      <c r="BE57" s="43">
        <v>430</v>
      </c>
      <c r="BF57" s="42">
        <v>4042</v>
      </c>
    </row>
    <row r="58" spans="1:58" ht="16.5">
      <c r="A58" s="4">
        <v>3</v>
      </c>
      <c r="B58" s="3" t="s">
        <v>8</v>
      </c>
      <c r="C58" s="4" t="s">
        <v>5</v>
      </c>
      <c r="D58" s="6" t="s">
        <v>15</v>
      </c>
      <c r="E58" s="42">
        <f t="shared" si="1"/>
        <v>42</v>
      </c>
      <c r="F58" s="124" t="s">
        <v>317</v>
      </c>
      <c r="G58" s="43">
        <f t="shared" si="0"/>
        <v>448.6666666666667</v>
      </c>
      <c r="H58" s="34">
        <f t="shared" si="2"/>
        <v>18844</v>
      </c>
      <c r="J58" s="195">
        <v>0</v>
      </c>
      <c r="K58" s="195" t="s">
        <v>317</v>
      </c>
      <c r="L58" s="195" t="e">
        <v>#DIV/0!</v>
      </c>
      <c r="M58" s="195">
        <v>0</v>
      </c>
      <c r="O58" s="28">
        <v>0</v>
      </c>
      <c r="P58" s="28" t="s">
        <v>317</v>
      </c>
      <c r="Q58" s="28" t="e">
        <v>#DIV/0!</v>
      </c>
      <c r="R58" s="28">
        <v>0</v>
      </c>
      <c r="T58" s="223">
        <v>0</v>
      </c>
      <c r="U58" s="223" t="s">
        <v>317</v>
      </c>
      <c r="Y58" s="175">
        <v>0</v>
      </c>
      <c r="Z58" s="175" t="s">
        <v>317</v>
      </c>
      <c r="AA58" s="175" t="e">
        <v>#DIV/0!</v>
      </c>
      <c r="AB58" s="175">
        <v>0</v>
      </c>
      <c r="AD58" s="185">
        <v>0</v>
      </c>
      <c r="AE58" s="189" t="s">
        <v>317</v>
      </c>
      <c r="AF58" s="187">
        <v>0</v>
      </c>
      <c r="AG58" s="50">
        <v>0</v>
      </c>
      <c r="AI58" s="28">
        <v>0</v>
      </c>
      <c r="AJ58" s="28" t="s">
        <v>317</v>
      </c>
      <c r="AK58" s="28" t="e">
        <v>#DIV/0!</v>
      </c>
      <c r="AL58" s="28">
        <v>0</v>
      </c>
      <c r="AN58" s="42">
        <v>8</v>
      </c>
      <c r="AO58" s="124" t="s">
        <v>317</v>
      </c>
      <c r="AP58" s="43">
        <v>488</v>
      </c>
      <c r="AQ58" s="34">
        <v>3904</v>
      </c>
      <c r="AS58" s="42">
        <v>3</v>
      </c>
      <c r="AT58" s="124" t="s">
        <v>317</v>
      </c>
      <c r="AU58" s="43">
        <v>430</v>
      </c>
      <c r="AV58" s="34">
        <v>1290</v>
      </c>
      <c r="AX58" s="42"/>
      <c r="AY58" s="124" t="s">
        <v>317</v>
      </c>
      <c r="AZ58" s="43" t="e">
        <v>#DIV/0!</v>
      </c>
      <c r="BA58" s="34"/>
      <c r="BC58" s="42">
        <v>31</v>
      </c>
      <c r="BD58" s="124" t="s">
        <v>317</v>
      </c>
      <c r="BE58" s="43">
        <v>440.3225806451613</v>
      </c>
      <c r="BF58" s="42">
        <v>13650</v>
      </c>
    </row>
    <row r="59" spans="1:58" ht="16.5">
      <c r="A59" s="4">
        <v>3</v>
      </c>
      <c r="B59" s="3" t="s">
        <v>8</v>
      </c>
      <c r="C59" s="4" t="s">
        <v>5</v>
      </c>
      <c r="D59" s="6" t="s">
        <v>84</v>
      </c>
      <c r="E59" s="42">
        <f t="shared" si="1"/>
        <v>35.7</v>
      </c>
      <c r="F59" s="124" t="s">
        <v>316</v>
      </c>
      <c r="G59" s="43">
        <f t="shared" si="0"/>
        <v>439.2913165266106</v>
      </c>
      <c r="H59" s="34">
        <f t="shared" si="2"/>
        <v>15682.7</v>
      </c>
      <c r="J59" s="195">
        <v>0</v>
      </c>
      <c r="K59" s="195" t="s">
        <v>316</v>
      </c>
      <c r="L59" s="195" t="e">
        <v>#DIV/0!</v>
      </c>
      <c r="M59" s="195">
        <v>0</v>
      </c>
      <c r="O59" s="28">
        <v>1.5</v>
      </c>
      <c r="P59" s="28" t="s">
        <v>316</v>
      </c>
      <c r="Q59" s="28">
        <v>472.6666666666667</v>
      </c>
      <c r="R59" s="28">
        <v>709</v>
      </c>
      <c r="T59" s="223">
        <v>0</v>
      </c>
      <c r="U59" s="223" t="s">
        <v>316</v>
      </c>
      <c r="Y59" s="175">
        <v>0</v>
      </c>
      <c r="Z59" s="175" t="s">
        <v>316</v>
      </c>
      <c r="AA59" s="175" t="e">
        <v>#DIV/0!</v>
      </c>
      <c r="AB59" s="175">
        <v>0</v>
      </c>
      <c r="AD59" s="185">
        <v>9.2</v>
      </c>
      <c r="AE59" s="189" t="s">
        <v>316</v>
      </c>
      <c r="AF59" s="187">
        <v>434.34782608695656</v>
      </c>
      <c r="AG59" s="50">
        <v>3996</v>
      </c>
      <c r="AI59" s="28">
        <v>6</v>
      </c>
      <c r="AJ59" s="28" t="s">
        <v>316</v>
      </c>
      <c r="AK59" s="28">
        <v>430</v>
      </c>
      <c r="AL59" s="28">
        <v>2580</v>
      </c>
      <c r="AN59" s="42"/>
      <c r="AO59" s="124" t="s">
        <v>316</v>
      </c>
      <c r="AP59" s="43" t="e">
        <v>#DIV/0!</v>
      </c>
      <c r="AQ59" s="34"/>
      <c r="AS59" s="42">
        <v>8</v>
      </c>
      <c r="AT59" s="124" t="s">
        <v>316</v>
      </c>
      <c r="AU59" s="43">
        <v>450</v>
      </c>
      <c r="AV59" s="34">
        <v>3600</v>
      </c>
      <c r="AX59" s="42"/>
      <c r="AY59" s="124" t="s">
        <v>316</v>
      </c>
      <c r="AZ59" s="43" t="e">
        <v>#DIV/0!</v>
      </c>
      <c r="BA59" s="34"/>
      <c r="BC59" s="42">
        <v>11</v>
      </c>
      <c r="BD59" s="124" t="s">
        <v>316</v>
      </c>
      <c r="BE59" s="43">
        <v>436.1545454545454</v>
      </c>
      <c r="BF59" s="42">
        <v>4797.7</v>
      </c>
    </row>
    <row r="60" spans="1:58" ht="16.5">
      <c r="A60" s="4">
        <v>7</v>
      </c>
      <c r="B60" s="3" t="s">
        <v>9</v>
      </c>
      <c r="C60" s="4" t="s">
        <v>4</v>
      </c>
      <c r="D60" s="6" t="s">
        <v>16</v>
      </c>
      <c r="E60" s="42">
        <f t="shared" si="1"/>
        <v>39.5</v>
      </c>
      <c r="F60" s="119" t="s">
        <v>309</v>
      </c>
      <c r="G60" s="43">
        <f t="shared" si="0"/>
        <v>605.7372151898734</v>
      </c>
      <c r="H60" s="34">
        <f t="shared" si="2"/>
        <v>23926.62</v>
      </c>
      <c r="J60" s="195">
        <f>7+0.5</f>
        <v>7.5</v>
      </c>
      <c r="K60" s="195" t="s">
        <v>309</v>
      </c>
      <c r="L60" s="195">
        <v>609.0714285714286</v>
      </c>
      <c r="M60" s="195">
        <f>4263.5+267.5</f>
        <v>4531</v>
      </c>
      <c r="O60" s="28">
        <v>6</v>
      </c>
      <c r="P60" s="28" t="s">
        <v>309</v>
      </c>
      <c r="Q60" s="28">
        <v>629.1666666666666</v>
      </c>
      <c r="R60" s="28">
        <v>3775</v>
      </c>
      <c r="T60" s="223">
        <v>0</v>
      </c>
      <c r="U60" s="223" t="s">
        <v>309</v>
      </c>
      <c r="Y60" s="175">
        <v>10</v>
      </c>
      <c r="Z60" s="175" t="s">
        <v>309</v>
      </c>
      <c r="AA60" s="175">
        <v>617.95</v>
      </c>
      <c r="AB60" s="175">
        <v>6179.5</v>
      </c>
      <c r="AD60" s="185">
        <v>8</v>
      </c>
      <c r="AE60" s="186" t="s">
        <v>309</v>
      </c>
      <c r="AF60" s="187">
        <v>608.64</v>
      </c>
      <c r="AG60" s="50">
        <v>4869.12</v>
      </c>
      <c r="AI60" s="28">
        <v>6</v>
      </c>
      <c r="AJ60" s="28" t="s">
        <v>309</v>
      </c>
      <c r="AK60" s="28">
        <v>572.8333333333334</v>
      </c>
      <c r="AL60" s="28">
        <v>3437</v>
      </c>
      <c r="AN60" s="42"/>
      <c r="AO60" s="119" t="s">
        <v>309</v>
      </c>
      <c r="AP60" s="43" t="e">
        <v>#DIV/0!</v>
      </c>
      <c r="AQ60" s="34"/>
      <c r="AS60" s="42"/>
      <c r="AT60" s="119" t="s">
        <v>309</v>
      </c>
      <c r="AU60" s="43" t="e">
        <v>#DIV/0!</v>
      </c>
      <c r="AV60" s="34"/>
      <c r="AX60" s="42"/>
      <c r="AY60" s="119" t="s">
        <v>309</v>
      </c>
      <c r="AZ60" s="43" t="e">
        <v>#DIV/0!</v>
      </c>
      <c r="BA60" s="34"/>
      <c r="BC60" s="42">
        <v>2</v>
      </c>
      <c r="BD60" s="119" t="s">
        <v>309</v>
      </c>
      <c r="BE60" s="43">
        <v>567.5</v>
      </c>
      <c r="BF60" s="42">
        <v>1135</v>
      </c>
    </row>
    <row r="61" spans="1:58" ht="16.5">
      <c r="A61" s="4">
        <v>6</v>
      </c>
      <c r="B61" s="3" t="s">
        <v>9</v>
      </c>
      <c r="C61" s="4" t="s">
        <v>10</v>
      </c>
      <c r="D61" s="6" t="s">
        <v>17</v>
      </c>
      <c r="E61" s="42">
        <f t="shared" si="1"/>
        <v>8.5</v>
      </c>
      <c r="F61" s="119" t="s">
        <v>309</v>
      </c>
      <c r="G61" s="43">
        <f t="shared" si="0"/>
        <v>587.9411764705883</v>
      </c>
      <c r="H61" s="34">
        <f t="shared" si="2"/>
        <v>4997.5</v>
      </c>
      <c r="J61" s="195">
        <v>0</v>
      </c>
      <c r="K61" s="195" t="s">
        <v>309</v>
      </c>
      <c r="L61" s="195" t="e">
        <v>#DIV/0!</v>
      </c>
      <c r="M61" s="195">
        <v>0</v>
      </c>
      <c r="O61" s="28">
        <v>0.5</v>
      </c>
      <c r="P61" s="28" t="s">
        <v>309</v>
      </c>
      <c r="Q61" s="28">
        <v>535</v>
      </c>
      <c r="R61" s="28">
        <v>267.5</v>
      </c>
      <c r="T61" s="223">
        <v>0</v>
      </c>
      <c r="U61" s="223" t="s">
        <v>309</v>
      </c>
      <c r="Y61" s="175">
        <v>0</v>
      </c>
      <c r="Z61" s="175" t="s">
        <v>309</v>
      </c>
      <c r="AA61" s="175" t="e">
        <v>#DIV/0!</v>
      </c>
      <c r="AB61" s="175">
        <v>0</v>
      </c>
      <c r="AD61" s="185">
        <v>4</v>
      </c>
      <c r="AE61" s="186" t="s">
        <v>309</v>
      </c>
      <c r="AF61" s="187">
        <v>577.5</v>
      </c>
      <c r="AG61" s="50">
        <v>2310</v>
      </c>
      <c r="AI61" s="28">
        <v>0</v>
      </c>
      <c r="AJ61" s="28" t="s">
        <v>309</v>
      </c>
      <c r="AK61" s="28" t="e">
        <v>#DIV/0!</v>
      </c>
      <c r="AL61" s="28">
        <v>0</v>
      </c>
      <c r="AN61" s="42"/>
      <c r="AO61" s="119" t="s">
        <v>309</v>
      </c>
      <c r="AP61" s="43" t="e">
        <v>#DIV/0!</v>
      </c>
      <c r="AQ61" s="34"/>
      <c r="AS61" s="42"/>
      <c r="AT61" s="119" t="s">
        <v>309</v>
      </c>
      <c r="AU61" s="43" t="e">
        <v>#DIV/0!</v>
      </c>
      <c r="AV61" s="34"/>
      <c r="AX61" s="42"/>
      <c r="AY61" s="119" t="s">
        <v>309</v>
      </c>
      <c r="AZ61" s="43" t="e">
        <v>#DIV/0!</v>
      </c>
      <c r="BA61" s="34"/>
      <c r="BC61" s="42">
        <v>4</v>
      </c>
      <c r="BD61" s="119" t="s">
        <v>309</v>
      </c>
      <c r="BE61" s="43">
        <v>605</v>
      </c>
      <c r="BF61" s="42">
        <v>2420</v>
      </c>
    </row>
    <row r="62" spans="1:58" ht="16.5">
      <c r="A62" s="4">
        <v>8</v>
      </c>
      <c r="B62" s="3" t="s">
        <v>69</v>
      </c>
      <c r="C62" s="4" t="s">
        <v>5</v>
      </c>
      <c r="D62" s="11" t="s">
        <v>89</v>
      </c>
      <c r="E62" s="42">
        <f t="shared" si="1"/>
        <v>2.5</v>
      </c>
      <c r="F62" s="119" t="s">
        <v>309</v>
      </c>
      <c r="G62" s="43">
        <f t="shared" si="0"/>
        <v>615.368</v>
      </c>
      <c r="H62" s="34">
        <f t="shared" si="2"/>
        <v>1538.42</v>
      </c>
      <c r="J62" s="195">
        <v>0</v>
      </c>
      <c r="K62" s="195" t="s">
        <v>309</v>
      </c>
      <c r="L62" s="195" t="e">
        <v>#DIV/0!</v>
      </c>
      <c r="M62" s="195">
        <v>0</v>
      </c>
      <c r="O62" s="28">
        <v>0</v>
      </c>
      <c r="P62" s="28" t="s">
        <v>309</v>
      </c>
      <c r="Q62" s="28" t="e">
        <v>#DIV/0!</v>
      </c>
      <c r="R62" s="28">
        <v>0</v>
      </c>
      <c r="T62" s="223">
        <v>1</v>
      </c>
      <c r="U62" s="223" t="s">
        <v>309</v>
      </c>
      <c r="V62" s="223">
        <v>535</v>
      </c>
      <c r="W62" s="223">
        <v>535</v>
      </c>
      <c r="Y62" s="175">
        <v>0</v>
      </c>
      <c r="Z62" s="175" t="s">
        <v>309</v>
      </c>
      <c r="AA62" s="175" t="e">
        <v>#DIV/0!</v>
      </c>
      <c r="AB62" s="175">
        <v>0</v>
      </c>
      <c r="AD62" s="185">
        <v>0</v>
      </c>
      <c r="AE62" s="186" t="s">
        <v>309</v>
      </c>
      <c r="AF62" s="187">
        <v>0</v>
      </c>
      <c r="AG62" s="50">
        <v>0</v>
      </c>
      <c r="AI62" s="28">
        <v>0</v>
      </c>
      <c r="AJ62" s="28" t="s">
        <v>309</v>
      </c>
      <c r="AK62" s="28" t="e">
        <v>#DIV/0!</v>
      </c>
      <c r="AL62" s="28">
        <v>0</v>
      </c>
      <c r="AN62" s="42"/>
      <c r="AO62" s="119" t="s">
        <v>309</v>
      </c>
      <c r="AP62" s="43" t="e">
        <v>#DIV/0!</v>
      </c>
      <c r="AQ62" s="34"/>
      <c r="AS62" s="42"/>
      <c r="AT62" s="119" t="s">
        <v>309</v>
      </c>
      <c r="AU62" s="43" t="e">
        <v>#DIV/0!</v>
      </c>
      <c r="AV62" s="34"/>
      <c r="AX62" s="42"/>
      <c r="AY62" s="119" t="s">
        <v>309</v>
      </c>
      <c r="AZ62" s="43" t="e">
        <v>#DIV/0!</v>
      </c>
      <c r="BA62" s="34"/>
      <c r="BC62" s="42">
        <v>1.5</v>
      </c>
      <c r="BD62" s="119" t="s">
        <v>309</v>
      </c>
      <c r="BE62" s="43">
        <v>668.9466666666667</v>
      </c>
      <c r="BF62" s="42">
        <v>1003.4200000000001</v>
      </c>
    </row>
    <row r="63" spans="1:58" ht="33">
      <c r="A63" s="4">
        <v>8</v>
      </c>
      <c r="B63" s="4" t="s">
        <v>68</v>
      </c>
      <c r="C63" s="4" t="s">
        <v>10</v>
      </c>
      <c r="D63" s="6" t="s">
        <v>86</v>
      </c>
      <c r="E63" s="42">
        <f t="shared" si="1"/>
        <v>8</v>
      </c>
      <c r="F63" s="119" t="s">
        <v>309</v>
      </c>
      <c r="G63" s="43">
        <f t="shared" si="0"/>
        <v>741.3125</v>
      </c>
      <c r="H63" s="34">
        <f t="shared" si="2"/>
        <v>5930.5</v>
      </c>
      <c r="J63" s="195">
        <v>3</v>
      </c>
      <c r="K63" s="195" t="s">
        <v>309</v>
      </c>
      <c r="L63" s="195">
        <v>801.5</v>
      </c>
      <c r="M63" s="195">
        <v>2404.5</v>
      </c>
      <c r="O63" s="28">
        <v>0</v>
      </c>
      <c r="P63" s="28" t="s">
        <v>309</v>
      </c>
      <c r="Q63" s="28" t="e">
        <v>#DIV/0!</v>
      </c>
      <c r="R63" s="28">
        <v>0</v>
      </c>
      <c r="T63" s="223">
        <v>1</v>
      </c>
      <c r="U63" s="223" t="s">
        <v>309</v>
      </c>
      <c r="V63" s="223">
        <v>823</v>
      </c>
      <c r="W63" s="223">
        <v>823</v>
      </c>
      <c r="Y63" s="175">
        <v>1</v>
      </c>
      <c r="Z63" s="175" t="s">
        <v>309</v>
      </c>
      <c r="AA63" s="175">
        <v>803</v>
      </c>
      <c r="AB63" s="175">
        <v>803</v>
      </c>
      <c r="AD63" s="185">
        <v>3</v>
      </c>
      <c r="AE63" s="190" t="s">
        <v>309</v>
      </c>
      <c r="AF63" s="191">
        <v>633.3333333333334</v>
      </c>
      <c r="AG63" s="50">
        <v>1900</v>
      </c>
      <c r="AI63" s="28">
        <v>0</v>
      </c>
      <c r="AJ63" s="28" t="s">
        <v>309</v>
      </c>
      <c r="AK63" s="28" t="e">
        <v>#DIV/0!</v>
      </c>
      <c r="AL63" s="28">
        <v>0</v>
      </c>
      <c r="AN63" s="42"/>
      <c r="AO63" s="119" t="s">
        <v>309</v>
      </c>
      <c r="AP63" s="43" t="e">
        <v>#DIV/0!</v>
      </c>
      <c r="AQ63" s="34"/>
      <c r="AS63" s="42"/>
      <c r="AT63" s="119" t="s">
        <v>309</v>
      </c>
      <c r="AU63" s="43" t="e">
        <v>#DIV/0!</v>
      </c>
      <c r="AV63" s="34"/>
      <c r="AX63" s="42"/>
      <c r="AY63" s="119" t="s">
        <v>309</v>
      </c>
      <c r="AZ63" s="43" t="e">
        <v>#DIV/0!</v>
      </c>
      <c r="BA63" s="34"/>
      <c r="BC63" s="42">
        <v>0</v>
      </c>
      <c r="BD63" s="119" t="s">
        <v>309</v>
      </c>
      <c r="BE63" s="43" t="e">
        <v>#DIV/0!</v>
      </c>
      <c r="BF63" s="42">
        <v>0</v>
      </c>
    </row>
    <row r="64" spans="2:58" ht="17.25" hidden="1" thickBot="1">
      <c r="B64" s="31"/>
      <c r="C64" s="31"/>
      <c r="D64" s="31"/>
      <c r="E64" s="42">
        <f>SUM(E6:E63)</f>
        <v>3590.27</v>
      </c>
      <c r="F64" s="42">
        <f>SUM(F6:F63)</f>
        <v>0</v>
      </c>
      <c r="G64" s="43">
        <f t="shared" si="0"/>
        <v>483.7266918644002</v>
      </c>
      <c r="H64" s="42">
        <f>SUM(H6:H63)</f>
        <v>1736709.4300000002</v>
      </c>
      <c r="O64" s="28">
        <v>470.78</v>
      </c>
      <c r="R64" s="28">
        <v>225231.02000000002</v>
      </c>
      <c r="T64" s="223">
        <v>318.91999999999996</v>
      </c>
      <c r="V64" s="223">
        <v>483.8385488523768</v>
      </c>
      <c r="W64" s="223">
        <v>154305.78999999998</v>
      </c>
      <c r="Y64" s="175">
        <v>670.6500000000001</v>
      </c>
      <c r="AB64" s="175">
        <v>324367.56999999995</v>
      </c>
      <c r="AD64" s="192">
        <v>572.3250000000002</v>
      </c>
      <c r="AE64" s="193"/>
      <c r="AF64" s="194">
        <v>475.95679028523995</v>
      </c>
      <c r="AG64" s="130">
        <v>272401.97000000003</v>
      </c>
      <c r="AN64" s="200">
        <v>56.725</v>
      </c>
      <c r="AO64" s="31"/>
      <c r="AP64" s="31"/>
      <c r="AQ64" s="200">
        <v>30054.78</v>
      </c>
      <c r="AS64" s="200">
        <v>35.5</v>
      </c>
      <c r="AT64" s="31"/>
      <c r="AU64" s="31"/>
      <c r="AV64" s="200">
        <v>17483</v>
      </c>
      <c r="BC64" s="200">
        <v>201.79999999999998</v>
      </c>
      <c r="BD64" s="31"/>
      <c r="BE64" s="31"/>
      <c r="BF64" s="200">
        <v>101833.33</v>
      </c>
    </row>
    <row r="65" spans="4:38" ht="16.5" customHeight="1" hidden="1">
      <c r="D65" s="19" t="s">
        <v>247</v>
      </c>
      <c r="E65" s="41" t="e">
        <f>#REF!+#REF!+#REF!+#REF!+#REF!+#REF!+#REF!+#REF!</f>
        <v>#REF!</v>
      </c>
      <c r="G65" s="40" t="e">
        <f>H65/E65</f>
        <v>#REF!</v>
      </c>
      <c r="H65" s="34" t="e">
        <f>#REF!+#REF!+#REF!+#REF!+#REF!+#REF!+#REF!+#REF!</f>
        <v>#REF!</v>
      </c>
      <c r="AI65" s="28" t="e">
        <v>#REF!</v>
      </c>
      <c r="AK65" s="28" t="e">
        <v>#REF!</v>
      </c>
      <c r="AL65" s="28" t="e">
        <v>#REF!</v>
      </c>
    </row>
    <row r="66" ht="15" customHeight="1" hidden="1"/>
    <row r="67" spans="4:38" ht="16.5" customHeight="1" hidden="1">
      <c r="D67" s="19" t="s">
        <v>248</v>
      </c>
      <c r="E67" s="38">
        <v>3178.105</v>
      </c>
      <c r="G67" s="28">
        <v>431.58</v>
      </c>
      <c r="H67" s="28">
        <v>1371601.53</v>
      </c>
      <c r="I67" s="28"/>
      <c r="AI67" s="28">
        <v>3178.105</v>
      </c>
      <c r="AK67" s="28">
        <v>431.58</v>
      </c>
      <c r="AL67" s="28">
        <v>1371601.53</v>
      </c>
    </row>
    <row r="68" spans="4:38" ht="16.5" customHeight="1" hidden="1">
      <c r="D68" s="19" t="s">
        <v>246</v>
      </c>
      <c r="E68" s="38">
        <v>106.3</v>
      </c>
      <c r="G68" s="28">
        <v>470.39</v>
      </c>
      <c r="H68" s="28">
        <v>50002.59</v>
      </c>
      <c r="I68" s="28"/>
      <c r="AI68" s="28">
        <v>106.3</v>
      </c>
      <c r="AK68" s="28">
        <v>470.39</v>
      </c>
      <c r="AL68" s="28">
        <v>50002.59</v>
      </c>
    </row>
    <row r="69" spans="4:38" ht="16.5" customHeight="1" hidden="1">
      <c r="D69" s="19" t="s">
        <v>249</v>
      </c>
      <c r="E69" s="38" t="e">
        <f>#REF!+#REF!</f>
        <v>#REF!</v>
      </c>
      <c r="H69" s="28" t="e">
        <f>#REF!+#REF!</f>
        <v>#REF!</v>
      </c>
      <c r="I69" s="28"/>
      <c r="AI69" s="28" t="e">
        <v>#REF!</v>
      </c>
      <c r="AL69" s="28" t="e">
        <v>#REF!</v>
      </c>
    </row>
    <row r="70" spans="5:38" ht="15" customHeight="1" hidden="1">
      <c r="E70" s="38" t="e">
        <f>E67+E68+E69</f>
        <v>#REF!</v>
      </c>
      <c r="F70" s="28">
        <f>F67+F68+F69</f>
        <v>0</v>
      </c>
      <c r="G70" s="28">
        <f>G67+G68+G69</f>
        <v>901.97</v>
      </c>
      <c r="H70" s="28" t="e">
        <f>H67+H68+H69</f>
        <v>#REF!</v>
      </c>
      <c r="I70" s="28"/>
      <c r="AI70" s="28" t="e">
        <v>#REF!</v>
      </c>
      <c r="AJ70" s="28">
        <v>0</v>
      </c>
      <c r="AK70" s="28">
        <v>901.97</v>
      </c>
      <c r="AL70" s="28" t="e">
        <v>#REF!</v>
      </c>
    </row>
    <row r="71" ht="15" customHeight="1" hidden="1">
      <c r="I71" s="28"/>
    </row>
    <row r="72" ht="15" customHeight="1" hidden="1">
      <c r="I72" s="28"/>
    </row>
    <row r="73" spans="35:38" ht="16.5">
      <c r="AI73" s="28">
        <v>421.01000000000005</v>
      </c>
      <c r="AL73" s="28">
        <v>199784.46</v>
      </c>
    </row>
  </sheetData>
  <sheetProtection/>
  <mergeCells count="8">
    <mergeCell ref="G3:G4"/>
    <mergeCell ref="A1:G1"/>
    <mergeCell ref="A2:G2"/>
    <mergeCell ref="A4:C4"/>
    <mergeCell ref="B5:C5"/>
    <mergeCell ref="A3:D3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2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36.00390625" style="0" customWidth="1"/>
    <col min="2" max="2" width="12.28125" style="0" customWidth="1"/>
    <col min="3" max="3" width="33.28125" style="0" customWidth="1"/>
    <col min="4" max="4" width="15.8515625" style="9" customWidth="1"/>
    <col min="5" max="5" width="18.7109375" style="0" customWidth="1"/>
    <col min="6" max="6" width="21.00390625" style="0" customWidth="1"/>
    <col min="7" max="7" width="18.7109375" style="0" hidden="1" customWidth="1"/>
    <col min="8" max="8" width="1.421875" style="61" hidden="1" customWidth="1"/>
    <col min="9" max="12" width="18.7109375" style="0" hidden="1" customWidth="1"/>
    <col min="13" max="13" width="1.57421875" style="61" hidden="1" customWidth="1"/>
    <col min="14" max="17" width="18.7109375" style="0" hidden="1" customWidth="1"/>
    <col min="18" max="18" width="1.1484375" style="61" hidden="1" customWidth="1"/>
    <col min="19" max="22" width="18.7109375" style="0" hidden="1" customWidth="1"/>
    <col min="23" max="23" width="1.421875" style="61" hidden="1" customWidth="1"/>
    <col min="24" max="27" width="18.7109375" style="0" hidden="1" customWidth="1"/>
    <col min="28" max="28" width="0.71875" style="61" hidden="1" customWidth="1"/>
    <col min="29" max="32" width="18.7109375" style="0" hidden="1" customWidth="1"/>
    <col min="33" max="33" width="1.421875" style="61" hidden="1" customWidth="1"/>
    <col min="34" max="35" width="18.7109375" style="0" hidden="1" customWidth="1"/>
    <col min="36" max="36" width="18.28125" style="0" hidden="1" customWidth="1"/>
    <col min="37" max="37" width="1.8515625" style="61" hidden="1" customWidth="1"/>
    <col min="38" max="38" width="15.8515625" style="9" hidden="1" customWidth="1"/>
    <col min="39" max="41" width="18.7109375" style="0" hidden="1" customWidth="1"/>
    <col min="42" max="42" width="1.57421875" style="61" hidden="1" customWidth="1"/>
    <col min="43" max="43" width="15.8515625" style="9" hidden="1" customWidth="1"/>
    <col min="44" max="46" width="18.7109375" style="0" hidden="1" customWidth="1"/>
    <col min="47" max="47" width="0.85546875" style="61" hidden="1" customWidth="1"/>
    <col min="48" max="48" width="15.8515625" style="9" hidden="1" customWidth="1"/>
    <col min="49" max="51" width="18.7109375" style="0" hidden="1" customWidth="1"/>
    <col min="52" max="52" width="1.421875" style="61" hidden="1" customWidth="1"/>
    <col min="53" max="53" width="15.8515625" style="9" hidden="1" customWidth="1"/>
    <col min="54" max="56" width="18.7109375" style="0" hidden="1" customWidth="1"/>
    <col min="57" max="57" width="0.9921875" style="61" hidden="1" customWidth="1"/>
    <col min="58" max="58" width="15.8515625" style="9" hidden="1" customWidth="1"/>
    <col min="59" max="61" width="18.7109375" style="0" hidden="1" customWidth="1"/>
    <col min="62" max="62" width="1.421875" style="61" hidden="1" customWidth="1"/>
    <col min="63" max="63" width="15.8515625" style="9" hidden="1" customWidth="1"/>
    <col min="64" max="66" width="18.7109375" style="0" hidden="1" customWidth="1"/>
  </cols>
  <sheetData>
    <row r="1" spans="1:64" ht="48" customHeight="1">
      <c r="A1" s="238" t="s">
        <v>252</v>
      </c>
      <c r="B1" s="238"/>
      <c r="C1" s="238"/>
      <c r="D1" s="238"/>
      <c r="E1" s="238"/>
      <c r="F1" s="238"/>
      <c r="AL1"/>
      <c r="AM1" t="s">
        <v>332</v>
      </c>
      <c r="AQ1"/>
      <c r="AR1" t="s">
        <v>333</v>
      </c>
      <c r="AV1"/>
      <c r="AW1" t="s">
        <v>243</v>
      </c>
      <c r="BA1"/>
      <c r="BB1" t="s">
        <v>334</v>
      </c>
      <c r="BF1"/>
      <c r="BG1" t="s">
        <v>335</v>
      </c>
      <c r="BK1"/>
      <c r="BL1" t="s">
        <v>336</v>
      </c>
    </row>
    <row r="2" spans="1:66" ht="15.75">
      <c r="A2" s="101" t="s">
        <v>302</v>
      </c>
      <c r="B2" s="102"/>
      <c r="C2" s="102"/>
      <c r="D2" s="110"/>
      <c r="E2" s="102"/>
      <c r="F2" s="102"/>
      <c r="G2" s="12"/>
      <c r="I2" s="12"/>
      <c r="J2" s="12"/>
      <c r="K2" s="12"/>
      <c r="L2" s="12"/>
      <c r="N2" s="12"/>
      <c r="O2" s="12"/>
      <c r="P2" s="12"/>
      <c r="Q2" s="12"/>
      <c r="S2" s="12"/>
      <c r="T2" s="12"/>
      <c r="U2" s="12"/>
      <c r="V2" s="12"/>
      <c r="X2" s="12"/>
      <c r="Y2" s="12"/>
      <c r="Z2" s="12"/>
      <c r="AA2" s="12"/>
      <c r="AC2" s="12"/>
      <c r="AD2" s="12"/>
      <c r="AE2" s="12"/>
      <c r="AF2" s="12"/>
      <c r="AG2" s="95"/>
      <c r="AH2" s="12"/>
      <c r="AI2" s="12"/>
      <c r="AJ2" s="12"/>
      <c r="AL2"/>
      <c r="AQ2"/>
      <c r="AV2" s="110"/>
      <c r="AW2" s="102"/>
      <c r="AX2" s="102"/>
      <c r="AY2" s="12"/>
      <c r="BA2" s="110"/>
      <c r="BB2" s="102"/>
      <c r="BC2" s="102"/>
      <c r="BD2" s="12"/>
      <c r="BF2" s="110"/>
      <c r="BG2" s="102"/>
      <c r="BH2" s="102"/>
      <c r="BI2" s="12"/>
      <c r="BK2" s="110"/>
      <c r="BL2" s="102"/>
      <c r="BM2" s="102"/>
      <c r="BN2" s="12"/>
    </row>
    <row r="3" spans="1:66" ht="25.5" customHeight="1">
      <c r="A3" s="239" t="s">
        <v>96</v>
      </c>
      <c r="B3" s="241"/>
      <c r="C3" s="240"/>
      <c r="D3" s="242" t="s">
        <v>94</v>
      </c>
      <c r="E3" s="242" t="s">
        <v>95</v>
      </c>
      <c r="F3" s="242" t="s">
        <v>1</v>
      </c>
      <c r="G3" s="47"/>
      <c r="H3" s="93"/>
      <c r="I3" s="47"/>
      <c r="J3" s="47"/>
      <c r="K3" s="47"/>
      <c r="L3" s="47"/>
      <c r="M3" s="93"/>
      <c r="N3" s="47"/>
      <c r="O3" s="47"/>
      <c r="P3" s="47"/>
      <c r="Q3" s="47"/>
      <c r="R3" s="93"/>
      <c r="S3" s="47"/>
      <c r="T3" s="47"/>
      <c r="U3" s="47"/>
      <c r="V3" s="47"/>
      <c r="W3" s="93"/>
      <c r="X3" s="47"/>
      <c r="Y3" s="47"/>
      <c r="Z3" s="47"/>
      <c r="AA3" s="47"/>
      <c r="AB3" s="93"/>
      <c r="AC3" s="47"/>
      <c r="AD3" s="47"/>
      <c r="AE3" s="47"/>
      <c r="AF3" s="47"/>
      <c r="AG3" s="94"/>
      <c r="AH3" s="47"/>
      <c r="AI3" s="47"/>
      <c r="AJ3" s="47"/>
      <c r="AK3" s="93"/>
      <c r="AL3" s="242" t="s">
        <v>94</v>
      </c>
      <c r="AM3" s="242" t="s">
        <v>95</v>
      </c>
      <c r="AN3" s="242" t="s">
        <v>1</v>
      </c>
      <c r="AO3" s="242" t="s">
        <v>303</v>
      </c>
      <c r="AQ3" s="242" t="s">
        <v>94</v>
      </c>
      <c r="AR3" s="242" t="s">
        <v>95</v>
      </c>
      <c r="AS3" s="242" t="s">
        <v>1</v>
      </c>
      <c r="AT3" s="242" t="s">
        <v>303</v>
      </c>
      <c r="AV3" s="242" t="s">
        <v>94</v>
      </c>
      <c r="AW3" s="242" t="s">
        <v>95</v>
      </c>
      <c r="AX3" s="242" t="s">
        <v>1</v>
      </c>
      <c r="AY3" s="242" t="s">
        <v>303</v>
      </c>
      <c r="BA3" s="242" t="s">
        <v>94</v>
      </c>
      <c r="BB3" s="242" t="s">
        <v>95</v>
      </c>
      <c r="BC3" s="242" t="s">
        <v>1</v>
      </c>
      <c r="BD3" s="242" t="s">
        <v>303</v>
      </c>
      <c r="BF3" s="242" t="s">
        <v>94</v>
      </c>
      <c r="BG3" s="242" t="s">
        <v>95</v>
      </c>
      <c r="BH3" s="242" t="s">
        <v>1</v>
      </c>
      <c r="BI3" s="242" t="s">
        <v>303</v>
      </c>
      <c r="BK3" s="242" t="s">
        <v>94</v>
      </c>
      <c r="BL3" s="242" t="s">
        <v>95</v>
      </c>
      <c r="BM3" s="242" t="s">
        <v>1</v>
      </c>
      <c r="BN3" s="242" t="s">
        <v>303</v>
      </c>
    </row>
    <row r="4" spans="1:66" ht="25.5" customHeight="1">
      <c r="A4" s="239" t="s">
        <v>0</v>
      </c>
      <c r="B4" s="240"/>
      <c r="C4" s="18" t="s">
        <v>2</v>
      </c>
      <c r="D4" s="243"/>
      <c r="E4" s="243"/>
      <c r="F4" s="243"/>
      <c r="G4" s="47" t="s">
        <v>303</v>
      </c>
      <c r="H4" s="93"/>
      <c r="I4" s="47" t="s">
        <v>94</v>
      </c>
      <c r="J4" s="47" t="s">
        <v>95</v>
      </c>
      <c r="K4" s="47" t="s">
        <v>1</v>
      </c>
      <c r="L4" s="47" t="s">
        <v>303</v>
      </c>
      <c r="M4" s="93"/>
      <c r="N4" s="47" t="s">
        <v>94</v>
      </c>
      <c r="O4" s="47" t="s">
        <v>95</v>
      </c>
      <c r="P4" s="47" t="s">
        <v>1</v>
      </c>
      <c r="Q4" s="47" t="s">
        <v>303</v>
      </c>
      <c r="R4" s="93"/>
      <c r="S4" s="47" t="s">
        <v>94</v>
      </c>
      <c r="T4" s="47" t="s">
        <v>95</v>
      </c>
      <c r="U4" s="47" t="s">
        <v>1</v>
      </c>
      <c r="V4" s="47" t="s">
        <v>303</v>
      </c>
      <c r="W4" s="93"/>
      <c r="X4" s="47" t="s">
        <v>94</v>
      </c>
      <c r="Y4" s="47" t="s">
        <v>95</v>
      </c>
      <c r="Z4" s="47" t="s">
        <v>1</v>
      </c>
      <c r="AA4" s="47" t="s">
        <v>303</v>
      </c>
      <c r="AB4" s="93"/>
      <c r="AC4" s="47" t="s">
        <v>94</v>
      </c>
      <c r="AD4" s="47" t="s">
        <v>95</v>
      </c>
      <c r="AE4" s="47" t="s">
        <v>1</v>
      </c>
      <c r="AF4" s="47" t="s">
        <v>303</v>
      </c>
      <c r="AG4" s="94"/>
      <c r="AH4" s="47" t="s">
        <v>94</v>
      </c>
      <c r="AI4" s="47" t="s">
        <v>95</v>
      </c>
      <c r="AJ4" s="47" t="s">
        <v>303</v>
      </c>
      <c r="AK4" s="93"/>
      <c r="AL4" s="243"/>
      <c r="AM4" s="243"/>
      <c r="AN4" s="243"/>
      <c r="AO4" s="243"/>
      <c r="AQ4" s="243"/>
      <c r="AR4" s="243"/>
      <c r="AS4" s="243"/>
      <c r="AT4" s="243"/>
      <c r="AV4" s="243"/>
      <c r="AW4" s="243"/>
      <c r="AX4" s="243"/>
      <c r="AY4" s="243"/>
      <c r="BA4" s="243"/>
      <c r="BB4" s="243"/>
      <c r="BC4" s="243"/>
      <c r="BD4" s="243"/>
      <c r="BF4" s="243"/>
      <c r="BG4" s="243"/>
      <c r="BH4" s="243"/>
      <c r="BI4" s="243"/>
      <c r="BK4" s="243"/>
      <c r="BL4" s="243"/>
      <c r="BM4" s="243"/>
      <c r="BN4" s="243"/>
    </row>
    <row r="5" spans="1:66" ht="17.25">
      <c r="A5" s="239">
        <v>1</v>
      </c>
      <c r="B5" s="240"/>
      <c r="C5" s="18">
        <v>2</v>
      </c>
      <c r="D5" s="18">
        <v>3</v>
      </c>
      <c r="E5" s="18">
        <v>4</v>
      </c>
      <c r="F5" s="18">
        <v>5</v>
      </c>
      <c r="G5" s="17">
        <v>5</v>
      </c>
      <c r="H5" s="93"/>
      <c r="I5" s="18">
        <v>3</v>
      </c>
      <c r="J5" s="18">
        <v>4</v>
      </c>
      <c r="K5" s="18"/>
      <c r="L5" s="18">
        <v>5</v>
      </c>
      <c r="M5" s="93"/>
      <c r="N5" s="18">
        <v>3</v>
      </c>
      <c r="O5" s="18">
        <v>4</v>
      </c>
      <c r="P5" s="18"/>
      <c r="Q5" s="18">
        <v>5</v>
      </c>
      <c r="R5" s="93"/>
      <c r="S5" s="18">
        <v>3</v>
      </c>
      <c r="T5" s="18">
        <v>4</v>
      </c>
      <c r="U5" s="18"/>
      <c r="V5" s="18">
        <v>5</v>
      </c>
      <c r="W5" s="93"/>
      <c r="X5" s="18">
        <v>3</v>
      </c>
      <c r="Y5" s="18">
        <v>4</v>
      </c>
      <c r="Z5" s="18"/>
      <c r="AA5" s="18">
        <v>5</v>
      </c>
      <c r="AB5" s="93"/>
      <c r="AC5" s="18">
        <v>3</v>
      </c>
      <c r="AD5" s="18">
        <v>4</v>
      </c>
      <c r="AE5" s="18"/>
      <c r="AF5" s="18">
        <v>5</v>
      </c>
      <c r="AG5" s="94"/>
      <c r="AH5" s="18">
        <v>3</v>
      </c>
      <c r="AI5" s="18">
        <v>4</v>
      </c>
      <c r="AJ5" s="18">
        <v>5</v>
      </c>
      <c r="AK5" s="93"/>
      <c r="AL5" s="18">
        <v>3</v>
      </c>
      <c r="AM5" s="18">
        <v>4</v>
      </c>
      <c r="AN5" s="18"/>
      <c r="AO5" s="126">
        <v>5</v>
      </c>
      <c r="AQ5" s="18">
        <v>3</v>
      </c>
      <c r="AR5" s="18">
        <v>4</v>
      </c>
      <c r="AS5" s="18"/>
      <c r="AT5" s="126">
        <v>5</v>
      </c>
      <c r="AV5" s="18">
        <v>3</v>
      </c>
      <c r="AW5" s="18">
        <v>4</v>
      </c>
      <c r="AX5" s="18"/>
      <c r="AY5" s="126">
        <v>5</v>
      </c>
      <c r="BA5" s="18">
        <v>3</v>
      </c>
      <c r="BB5" s="18">
        <v>4</v>
      </c>
      <c r="BC5" s="18"/>
      <c r="BD5" s="126">
        <v>5</v>
      </c>
      <c r="BF5" s="18">
        <v>3</v>
      </c>
      <c r="BG5" s="18">
        <v>4</v>
      </c>
      <c r="BH5" s="18"/>
      <c r="BI5" s="126">
        <v>5</v>
      </c>
      <c r="BK5" s="18">
        <v>3</v>
      </c>
      <c r="BL5" s="18">
        <v>4</v>
      </c>
      <c r="BM5" s="18"/>
      <c r="BN5" s="126">
        <v>5</v>
      </c>
    </row>
    <row r="6" spans="1:66" ht="16.5">
      <c r="A6" s="3" t="s">
        <v>28</v>
      </c>
      <c r="B6" s="4" t="s">
        <v>6</v>
      </c>
      <c r="C6" s="11" t="s">
        <v>78</v>
      </c>
      <c r="D6" s="42">
        <f>AL6+AQ6+AV6+BA6+BF6+BK6</f>
        <v>160.25</v>
      </c>
      <c r="E6" s="4" t="s">
        <v>309</v>
      </c>
      <c r="F6" s="99">
        <f>AJ6/D6</f>
        <v>636.1014040561622</v>
      </c>
      <c r="G6" s="109">
        <f aca="true" t="shared" si="0" ref="G6:G13">L6+Q6+V6+AA6+AF6+AJ6</f>
        <v>188520.51499999998</v>
      </c>
      <c r="I6" s="12">
        <v>34</v>
      </c>
      <c r="J6" s="4" t="s">
        <v>22</v>
      </c>
      <c r="K6" s="4">
        <v>592.05</v>
      </c>
      <c r="L6" s="1">
        <f aca="true" t="shared" si="1" ref="L6:L33">I6*K6</f>
        <v>20129.699999999997</v>
      </c>
      <c r="N6" s="12">
        <v>34</v>
      </c>
      <c r="O6" s="4" t="s">
        <v>22</v>
      </c>
      <c r="P6" s="4">
        <v>574.41</v>
      </c>
      <c r="Q6" s="1">
        <f aca="true" t="shared" si="2" ref="Q6:Q33">N6*P6</f>
        <v>19529.94</v>
      </c>
      <c r="S6" s="12">
        <v>20</v>
      </c>
      <c r="T6" s="4" t="s">
        <v>22</v>
      </c>
      <c r="U6" s="4">
        <v>596.85</v>
      </c>
      <c r="V6" s="1">
        <f aca="true" t="shared" si="3" ref="V6:V33">S6*U6</f>
        <v>11937</v>
      </c>
      <c r="X6" s="12">
        <v>30</v>
      </c>
      <c r="Y6" s="4" t="s">
        <v>22</v>
      </c>
      <c r="Z6" s="4">
        <v>578.53</v>
      </c>
      <c r="AA6" s="1">
        <f aca="true" t="shared" si="4" ref="AA6:AA33">X6*Z6</f>
        <v>17355.899999999998</v>
      </c>
      <c r="AC6" s="12">
        <v>30.25</v>
      </c>
      <c r="AD6" s="4" t="s">
        <v>22</v>
      </c>
      <c r="AE6" s="4">
        <v>582.9</v>
      </c>
      <c r="AF6" s="1">
        <f aca="true" t="shared" si="5" ref="AF6:AF33">AC6*AE6</f>
        <v>17632.725</v>
      </c>
      <c r="AG6" s="95"/>
      <c r="AH6" s="12">
        <v>12</v>
      </c>
      <c r="AI6" s="4" t="s">
        <v>22</v>
      </c>
      <c r="AJ6" s="1">
        <f>AO6+AT6+AY6+BD6+BI6+BN6</f>
        <v>101935.25</v>
      </c>
      <c r="AL6" s="42">
        <v>20</v>
      </c>
      <c r="AM6" s="4" t="s">
        <v>309</v>
      </c>
      <c r="AN6" s="99">
        <f>AO6/AL6</f>
        <v>646.85</v>
      </c>
      <c r="AO6" s="42">
        <v>12937</v>
      </c>
      <c r="AQ6" s="42">
        <v>12</v>
      </c>
      <c r="AR6" s="4" t="s">
        <v>309</v>
      </c>
      <c r="AS6" s="99">
        <f>AT6/AQ6</f>
        <v>657.9166666666666</v>
      </c>
      <c r="AT6" s="42">
        <v>7895</v>
      </c>
      <c r="AV6" s="42">
        <v>34</v>
      </c>
      <c r="AW6" s="4" t="s">
        <v>309</v>
      </c>
      <c r="AX6" s="99">
        <f>AY6/AV6</f>
        <v>625.0588235294117</v>
      </c>
      <c r="AY6" s="109">
        <v>21252</v>
      </c>
      <c r="BA6" s="42">
        <v>34</v>
      </c>
      <c r="BB6" s="4" t="s">
        <v>309</v>
      </c>
      <c r="BC6" s="99">
        <f>BD6/BA6</f>
        <v>642.6470588235294</v>
      </c>
      <c r="BD6" s="42">
        <v>21850</v>
      </c>
      <c r="BF6" s="42">
        <v>30</v>
      </c>
      <c r="BG6" s="4" t="s">
        <v>309</v>
      </c>
      <c r="BH6" s="99">
        <f>BI6/BF6</f>
        <v>628.2</v>
      </c>
      <c r="BI6" s="109">
        <v>18846</v>
      </c>
      <c r="BK6" s="42">
        <v>30.25</v>
      </c>
      <c r="BL6" s="4" t="s">
        <v>309</v>
      </c>
      <c r="BM6" s="99">
        <f>BN6/BK6</f>
        <v>633.2314049586777</v>
      </c>
      <c r="BN6" s="42">
        <v>19155.25</v>
      </c>
    </row>
    <row r="7" spans="1:66" ht="16.5">
      <c r="A7" s="3" t="s">
        <v>31</v>
      </c>
      <c r="B7" s="2" t="s">
        <v>32</v>
      </c>
      <c r="C7" s="11" t="s">
        <v>43</v>
      </c>
      <c r="D7" s="42">
        <f aca="true" t="shared" si="6" ref="D7:D33">AL7+AQ7+AV7+BA7+BF7+BK7</f>
        <v>388</v>
      </c>
      <c r="E7" s="4" t="s">
        <v>313</v>
      </c>
      <c r="F7" s="99">
        <f aca="true" t="shared" si="7" ref="F7:F33">AJ7/D7</f>
        <v>430</v>
      </c>
      <c r="G7" s="109">
        <f t="shared" si="0"/>
        <v>337080</v>
      </c>
      <c r="I7" s="12">
        <v>102</v>
      </c>
      <c r="J7" s="4" t="s">
        <v>20</v>
      </c>
      <c r="K7" s="4">
        <v>380</v>
      </c>
      <c r="L7" s="1">
        <f t="shared" si="1"/>
        <v>38760</v>
      </c>
      <c r="N7" s="12">
        <v>102</v>
      </c>
      <c r="O7" s="4" t="s">
        <v>20</v>
      </c>
      <c r="P7" s="4">
        <v>380</v>
      </c>
      <c r="Q7" s="1">
        <f t="shared" si="2"/>
        <v>38760</v>
      </c>
      <c r="S7" s="12">
        <v>60</v>
      </c>
      <c r="T7" s="4" t="s">
        <v>20</v>
      </c>
      <c r="U7" s="4">
        <v>380</v>
      </c>
      <c r="V7" s="1">
        <f t="shared" si="3"/>
        <v>22800</v>
      </c>
      <c r="X7" s="12">
        <v>91</v>
      </c>
      <c r="Y7" s="4" t="s">
        <v>20</v>
      </c>
      <c r="Z7" s="4">
        <v>380</v>
      </c>
      <c r="AA7" s="1">
        <f t="shared" si="4"/>
        <v>34580</v>
      </c>
      <c r="AC7" s="12">
        <v>93</v>
      </c>
      <c r="AD7" s="4" t="s">
        <v>20</v>
      </c>
      <c r="AE7" s="4">
        <v>380</v>
      </c>
      <c r="AF7" s="1">
        <f t="shared" si="5"/>
        <v>35340</v>
      </c>
      <c r="AG7" s="95"/>
      <c r="AH7" s="12">
        <v>33</v>
      </c>
      <c r="AI7" s="4" t="s">
        <v>20</v>
      </c>
      <c r="AJ7" s="1">
        <f aca="true" t="shared" si="8" ref="AJ7:AJ39">AO7+AT7+AY7+BD7+BI7+BN7</f>
        <v>166840</v>
      </c>
      <c r="AL7" s="42">
        <v>60</v>
      </c>
      <c r="AM7" s="4" t="s">
        <v>313</v>
      </c>
      <c r="AN7" s="99">
        <f aca="true" t="shared" si="9" ref="AN7:AN33">AO7/AL7</f>
        <v>430</v>
      </c>
      <c r="AO7" s="42">
        <v>25800</v>
      </c>
      <c r="AQ7" s="42">
        <v>33</v>
      </c>
      <c r="AR7" s="4" t="s">
        <v>313</v>
      </c>
      <c r="AS7" s="99">
        <f aca="true" t="shared" si="10" ref="AS7:AS33">AT7/AQ7</f>
        <v>430</v>
      </c>
      <c r="AT7" s="42">
        <v>14190</v>
      </c>
      <c r="AV7" s="42">
        <v>102</v>
      </c>
      <c r="AW7" s="4" t="s">
        <v>313</v>
      </c>
      <c r="AX7" s="4">
        <f>AY7/AV7</f>
        <v>430</v>
      </c>
      <c r="AY7" s="109">
        <v>43860</v>
      </c>
      <c r="BA7" s="42">
        <v>102</v>
      </c>
      <c r="BB7" s="4" t="s">
        <v>313</v>
      </c>
      <c r="BC7" s="99">
        <f aca="true" t="shared" si="11" ref="BC7:BC33">BD7/BA7</f>
        <v>430</v>
      </c>
      <c r="BD7" s="42">
        <v>43860</v>
      </c>
      <c r="BF7" s="42">
        <v>91</v>
      </c>
      <c r="BG7" s="4" t="s">
        <v>313</v>
      </c>
      <c r="BH7" s="4">
        <f>BI7/BF7</f>
        <v>430</v>
      </c>
      <c r="BI7" s="109">
        <v>39130</v>
      </c>
      <c r="BK7" s="42">
        <v>0</v>
      </c>
      <c r="BL7" s="4"/>
      <c r="BM7" s="99" t="e">
        <f aca="true" t="shared" si="12" ref="BM7:BM33">BN7/BK7</f>
        <v>#DIV/0!</v>
      </c>
      <c r="BN7" s="42">
        <v>0</v>
      </c>
    </row>
    <row r="8" spans="1:66" ht="33">
      <c r="A8" s="4" t="s">
        <v>24</v>
      </c>
      <c r="B8" s="4" t="s">
        <v>6</v>
      </c>
      <c r="C8" s="11" t="s">
        <v>25</v>
      </c>
      <c r="D8" s="42">
        <f t="shared" si="6"/>
        <v>0</v>
      </c>
      <c r="E8" s="2" t="s">
        <v>309</v>
      </c>
      <c r="F8" s="99">
        <v>0</v>
      </c>
      <c r="G8" s="109">
        <f t="shared" si="0"/>
        <v>0</v>
      </c>
      <c r="I8" s="12"/>
      <c r="J8" s="2" t="s">
        <v>22</v>
      </c>
      <c r="K8" s="2"/>
      <c r="L8" s="1">
        <f t="shared" si="1"/>
        <v>0</v>
      </c>
      <c r="N8" s="12"/>
      <c r="O8" s="2" t="s">
        <v>22</v>
      </c>
      <c r="P8" s="2"/>
      <c r="Q8" s="1">
        <f t="shared" si="2"/>
        <v>0</v>
      </c>
      <c r="S8" s="12"/>
      <c r="T8" s="2" t="s">
        <v>22</v>
      </c>
      <c r="U8" s="2"/>
      <c r="V8" s="1">
        <f t="shared" si="3"/>
        <v>0</v>
      </c>
      <c r="X8" s="12"/>
      <c r="Y8" s="2" t="s">
        <v>22</v>
      </c>
      <c r="Z8" s="2"/>
      <c r="AA8" s="1">
        <f t="shared" si="4"/>
        <v>0</v>
      </c>
      <c r="AC8" s="12"/>
      <c r="AD8" s="2" t="s">
        <v>22</v>
      </c>
      <c r="AE8" s="2"/>
      <c r="AF8" s="1">
        <f t="shared" si="5"/>
        <v>0</v>
      </c>
      <c r="AG8" s="95"/>
      <c r="AH8" s="12"/>
      <c r="AI8" s="2" t="s">
        <v>22</v>
      </c>
      <c r="AJ8" s="1">
        <f t="shared" si="8"/>
        <v>0</v>
      </c>
      <c r="AL8" s="42">
        <v>0</v>
      </c>
      <c r="AM8" s="2" t="s">
        <v>309</v>
      </c>
      <c r="AN8" s="99" t="e">
        <f t="shared" si="9"/>
        <v>#DIV/0!</v>
      </c>
      <c r="AO8" s="42">
        <v>0</v>
      </c>
      <c r="AQ8" s="42">
        <v>0</v>
      </c>
      <c r="AR8" s="2" t="s">
        <v>309</v>
      </c>
      <c r="AS8" s="99" t="e">
        <f t="shared" si="10"/>
        <v>#DIV/0!</v>
      </c>
      <c r="AT8" s="42">
        <v>0</v>
      </c>
      <c r="AV8" s="42"/>
      <c r="AW8" s="2" t="s">
        <v>309</v>
      </c>
      <c r="AX8" s="4"/>
      <c r="AY8" s="109"/>
      <c r="BA8" s="42"/>
      <c r="BB8" s="2" t="s">
        <v>309</v>
      </c>
      <c r="BC8" s="99" t="e">
        <f t="shared" si="11"/>
        <v>#DIV/0!</v>
      </c>
      <c r="BD8" s="42">
        <v>0</v>
      </c>
      <c r="BF8" s="42"/>
      <c r="BG8" s="2" t="s">
        <v>309</v>
      </c>
      <c r="BH8" s="4"/>
      <c r="BI8" s="109"/>
      <c r="BK8" s="42">
        <v>0</v>
      </c>
      <c r="BL8" s="4"/>
      <c r="BM8" s="99" t="e">
        <f t="shared" si="12"/>
        <v>#DIV/0!</v>
      </c>
      <c r="BN8" s="42">
        <v>0</v>
      </c>
    </row>
    <row r="9" spans="1:66" ht="33">
      <c r="A9" s="4" t="s">
        <v>24</v>
      </c>
      <c r="B9" s="4" t="s">
        <v>6</v>
      </c>
      <c r="C9" s="11" t="s">
        <v>99</v>
      </c>
      <c r="D9" s="42">
        <f t="shared" si="6"/>
        <v>96.5</v>
      </c>
      <c r="E9" s="2" t="s">
        <v>309</v>
      </c>
      <c r="F9" s="99">
        <f t="shared" si="7"/>
        <v>437.65290155440414</v>
      </c>
      <c r="G9" s="109">
        <f t="shared" si="0"/>
        <v>42717.38375</v>
      </c>
      <c r="H9" s="97"/>
      <c r="I9" s="13"/>
      <c r="J9" s="2" t="s">
        <v>22</v>
      </c>
      <c r="K9" s="2"/>
      <c r="L9" s="1">
        <f t="shared" si="1"/>
        <v>0</v>
      </c>
      <c r="M9" s="97"/>
      <c r="N9" s="13">
        <v>0.375</v>
      </c>
      <c r="O9" s="2" t="s">
        <v>22</v>
      </c>
      <c r="P9" s="2">
        <v>553.01</v>
      </c>
      <c r="Q9" s="1">
        <f t="shared" si="2"/>
        <v>207.37875</v>
      </c>
      <c r="R9" s="97"/>
      <c r="S9" s="13">
        <v>0.5</v>
      </c>
      <c r="T9" s="2" t="s">
        <v>22</v>
      </c>
      <c r="U9" s="2">
        <v>553</v>
      </c>
      <c r="V9" s="1">
        <f t="shared" si="3"/>
        <v>276.5</v>
      </c>
      <c r="W9" s="97"/>
      <c r="X9" s="13"/>
      <c r="Y9" s="2" t="s">
        <v>22</v>
      </c>
      <c r="Z9" s="2"/>
      <c r="AA9" s="1">
        <f t="shared" si="4"/>
        <v>0</v>
      </c>
      <c r="AB9" s="97"/>
      <c r="AC9" s="13"/>
      <c r="AD9" s="2" t="s">
        <v>22</v>
      </c>
      <c r="AE9" s="2"/>
      <c r="AF9" s="1">
        <f t="shared" si="5"/>
        <v>0</v>
      </c>
      <c r="AG9" s="98"/>
      <c r="AH9" s="13">
        <v>2.75</v>
      </c>
      <c r="AI9" s="2" t="s">
        <v>22</v>
      </c>
      <c r="AJ9" s="1">
        <f t="shared" si="8"/>
        <v>42233.505</v>
      </c>
      <c r="AK9" s="97"/>
      <c r="AL9" s="42">
        <v>0.125</v>
      </c>
      <c r="AM9" s="2" t="s">
        <v>309</v>
      </c>
      <c r="AN9" s="99">
        <f t="shared" si="9"/>
        <v>641.04</v>
      </c>
      <c r="AO9" s="42">
        <v>80.13</v>
      </c>
      <c r="AQ9" s="42">
        <v>3</v>
      </c>
      <c r="AR9" s="2" t="s">
        <v>309</v>
      </c>
      <c r="AS9" s="99">
        <f t="shared" si="10"/>
        <v>641</v>
      </c>
      <c r="AT9" s="42">
        <v>1923</v>
      </c>
      <c r="AV9" s="42">
        <v>0.375</v>
      </c>
      <c r="AW9" s="2" t="s">
        <v>309</v>
      </c>
      <c r="AX9" s="96">
        <f aca="true" t="shared" si="13" ref="AX9:AX34">AY9/AV9</f>
        <v>641</v>
      </c>
      <c r="AY9" s="109">
        <v>240.375</v>
      </c>
      <c r="BA9" s="42"/>
      <c r="BB9" s="2" t="s">
        <v>309</v>
      </c>
      <c r="BC9" s="99" t="e">
        <f t="shared" si="11"/>
        <v>#DIV/0!</v>
      </c>
      <c r="BD9" s="42">
        <v>0</v>
      </c>
      <c r="BF9" s="42"/>
      <c r="BG9" s="2" t="s">
        <v>309</v>
      </c>
      <c r="BH9" s="96" t="e">
        <f aca="true" t="shared" si="14" ref="BH9:BH34">BI9/BF9</f>
        <v>#DIV/0!</v>
      </c>
      <c r="BI9" s="109"/>
      <c r="BK9" s="42">
        <v>93</v>
      </c>
      <c r="BL9" s="4" t="s">
        <v>313</v>
      </c>
      <c r="BM9" s="99">
        <f t="shared" si="12"/>
        <v>430</v>
      </c>
      <c r="BN9" s="42">
        <v>39990</v>
      </c>
    </row>
    <row r="10" spans="1:66" ht="33">
      <c r="A10" s="3" t="s">
        <v>24</v>
      </c>
      <c r="B10" s="4" t="s">
        <v>6</v>
      </c>
      <c r="C10" s="15" t="s">
        <v>102</v>
      </c>
      <c r="D10" s="42">
        <f t="shared" si="6"/>
        <v>0.8</v>
      </c>
      <c r="E10" s="2" t="s">
        <v>309</v>
      </c>
      <c r="F10" s="99">
        <f t="shared" si="7"/>
        <v>640.9999999999999</v>
      </c>
      <c r="G10" s="109">
        <f t="shared" si="0"/>
        <v>512.8</v>
      </c>
      <c r="I10" s="12"/>
      <c r="J10" s="2" t="s">
        <v>22</v>
      </c>
      <c r="K10" s="2"/>
      <c r="L10" s="1">
        <f t="shared" si="1"/>
        <v>0</v>
      </c>
      <c r="N10" s="12"/>
      <c r="O10" s="2" t="s">
        <v>22</v>
      </c>
      <c r="P10" s="2"/>
      <c r="Q10" s="1">
        <f t="shared" si="2"/>
        <v>0</v>
      </c>
      <c r="S10" s="12"/>
      <c r="T10" s="2" t="s">
        <v>22</v>
      </c>
      <c r="U10" s="2"/>
      <c r="V10" s="1">
        <f t="shared" si="3"/>
        <v>0</v>
      </c>
      <c r="X10" s="12"/>
      <c r="Y10" s="2" t="s">
        <v>22</v>
      </c>
      <c r="Z10" s="2"/>
      <c r="AA10" s="1">
        <f t="shared" si="4"/>
        <v>0</v>
      </c>
      <c r="AC10" s="12"/>
      <c r="AD10" s="2" t="s">
        <v>22</v>
      </c>
      <c r="AE10" s="2"/>
      <c r="AF10" s="1">
        <f t="shared" si="5"/>
        <v>0</v>
      </c>
      <c r="AG10" s="95"/>
      <c r="AH10" s="12">
        <v>0.5</v>
      </c>
      <c r="AI10" s="2" t="s">
        <v>22</v>
      </c>
      <c r="AJ10" s="1">
        <f t="shared" si="8"/>
        <v>512.8</v>
      </c>
      <c r="AL10" s="42">
        <v>0</v>
      </c>
      <c r="AM10" s="2" t="s">
        <v>309</v>
      </c>
      <c r="AN10" s="99" t="e">
        <f t="shared" si="9"/>
        <v>#DIV/0!</v>
      </c>
      <c r="AO10" s="42">
        <v>0</v>
      </c>
      <c r="AQ10" s="42">
        <v>0.8</v>
      </c>
      <c r="AR10" s="2" t="s">
        <v>309</v>
      </c>
      <c r="AS10" s="99">
        <f t="shared" si="10"/>
        <v>640.9999999999999</v>
      </c>
      <c r="AT10" s="42">
        <v>512.8</v>
      </c>
      <c r="AV10" s="42"/>
      <c r="AW10" s="2" t="s">
        <v>309</v>
      </c>
      <c r="AX10" s="4" t="e">
        <f t="shared" si="13"/>
        <v>#DIV/0!</v>
      </c>
      <c r="AY10" s="109"/>
      <c r="BA10" s="42"/>
      <c r="BB10" s="2" t="s">
        <v>309</v>
      </c>
      <c r="BC10" s="99" t="e">
        <f t="shared" si="11"/>
        <v>#DIV/0!</v>
      </c>
      <c r="BD10" s="42">
        <v>0</v>
      </c>
      <c r="BF10" s="42"/>
      <c r="BG10" s="2" t="s">
        <v>309</v>
      </c>
      <c r="BH10" s="4" t="e">
        <f t="shared" si="14"/>
        <v>#DIV/0!</v>
      </c>
      <c r="BI10" s="109"/>
      <c r="BK10" s="42">
        <v>0</v>
      </c>
      <c r="BL10" s="2" t="s">
        <v>309</v>
      </c>
      <c r="BM10" s="99" t="e">
        <f t="shared" si="12"/>
        <v>#DIV/0!</v>
      </c>
      <c r="BN10" s="42">
        <v>0</v>
      </c>
    </row>
    <row r="11" spans="1:66" ht="33">
      <c r="A11" s="4" t="s">
        <v>24</v>
      </c>
      <c r="B11" s="4" t="s">
        <v>6</v>
      </c>
      <c r="C11" s="11" t="s">
        <v>103</v>
      </c>
      <c r="D11" s="42">
        <f t="shared" si="6"/>
        <v>1.125</v>
      </c>
      <c r="E11" s="8" t="s">
        <v>309</v>
      </c>
      <c r="F11" s="99">
        <f t="shared" si="7"/>
        <v>641.0044444444444</v>
      </c>
      <c r="G11" s="109">
        <f t="shared" si="0"/>
        <v>721.13</v>
      </c>
      <c r="I11" s="12"/>
      <c r="J11" s="8" t="s">
        <v>22</v>
      </c>
      <c r="K11" s="8"/>
      <c r="L11" s="1">
        <f t="shared" si="1"/>
        <v>0</v>
      </c>
      <c r="N11" s="12"/>
      <c r="O11" s="8" t="s">
        <v>22</v>
      </c>
      <c r="P11" s="8"/>
      <c r="Q11" s="1">
        <f t="shared" si="2"/>
        <v>0</v>
      </c>
      <c r="S11" s="12"/>
      <c r="T11" s="8" t="s">
        <v>22</v>
      </c>
      <c r="U11" s="8"/>
      <c r="V11" s="1">
        <f t="shared" si="3"/>
        <v>0</v>
      </c>
      <c r="X11" s="12"/>
      <c r="Y11" s="8" t="s">
        <v>22</v>
      </c>
      <c r="Z11" s="8"/>
      <c r="AA11" s="1">
        <f t="shared" si="4"/>
        <v>0</v>
      </c>
      <c r="AC11" s="12"/>
      <c r="AD11" s="8" t="s">
        <v>22</v>
      </c>
      <c r="AE11" s="8"/>
      <c r="AF11" s="1">
        <f t="shared" si="5"/>
        <v>0</v>
      </c>
      <c r="AG11" s="95"/>
      <c r="AH11" s="12">
        <v>1.125</v>
      </c>
      <c r="AI11" s="8" t="s">
        <v>22</v>
      </c>
      <c r="AJ11" s="1">
        <f t="shared" si="8"/>
        <v>721.13</v>
      </c>
      <c r="AL11" s="42">
        <v>0</v>
      </c>
      <c r="AM11" s="8" t="s">
        <v>309</v>
      </c>
      <c r="AN11" s="99" t="e">
        <f t="shared" si="9"/>
        <v>#DIV/0!</v>
      </c>
      <c r="AO11" s="42">
        <v>0</v>
      </c>
      <c r="AQ11" s="42">
        <v>1.125</v>
      </c>
      <c r="AR11" s="8" t="s">
        <v>309</v>
      </c>
      <c r="AS11" s="99">
        <f t="shared" si="10"/>
        <v>641.0044444444444</v>
      </c>
      <c r="AT11" s="42">
        <v>721.13</v>
      </c>
      <c r="AV11" s="42"/>
      <c r="AW11" s="8" t="s">
        <v>309</v>
      </c>
      <c r="AX11" s="4" t="e">
        <f t="shared" si="13"/>
        <v>#DIV/0!</v>
      </c>
      <c r="AY11" s="109"/>
      <c r="BA11" s="42"/>
      <c r="BB11" s="8" t="s">
        <v>309</v>
      </c>
      <c r="BC11" s="99" t="e">
        <f t="shared" si="11"/>
        <v>#DIV/0!</v>
      </c>
      <c r="BD11" s="42">
        <v>0</v>
      </c>
      <c r="BF11" s="42"/>
      <c r="BG11" s="8" t="s">
        <v>309</v>
      </c>
      <c r="BH11" s="4" t="e">
        <f t="shared" si="14"/>
        <v>#DIV/0!</v>
      </c>
      <c r="BI11" s="109"/>
      <c r="BK11" s="42">
        <v>0</v>
      </c>
      <c r="BL11" s="2" t="s">
        <v>309</v>
      </c>
      <c r="BM11" s="99" t="e">
        <f t="shared" si="12"/>
        <v>#DIV/0!</v>
      </c>
      <c r="BN11" s="42">
        <v>0</v>
      </c>
    </row>
    <row r="12" spans="1:66" ht="33">
      <c r="A12" s="4" t="s">
        <v>24</v>
      </c>
      <c r="B12" s="4" t="s">
        <v>6</v>
      </c>
      <c r="C12" s="11" t="s">
        <v>105</v>
      </c>
      <c r="D12" s="42">
        <f t="shared" si="6"/>
        <v>0.3</v>
      </c>
      <c r="E12" s="8" t="s">
        <v>309</v>
      </c>
      <c r="F12" s="99">
        <f t="shared" si="7"/>
        <v>641.0000000000001</v>
      </c>
      <c r="G12" s="109">
        <f t="shared" si="0"/>
        <v>192.3</v>
      </c>
      <c r="I12" s="12"/>
      <c r="J12" s="8" t="s">
        <v>22</v>
      </c>
      <c r="K12" s="8"/>
      <c r="L12" s="1">
        <f t="shared" si="1"/>
        <v>0</v>
      </c>
      <c r="N12" s="12"/>
      <c r="O12" s="8" t="s">
        <v>22</v>
      </c>
      <c r="P12" s="8"/>
      <c r="Q12" s="1">
        <f t="shared" si="2"/>
        <v>0</v>
      </c>
      <c r="S12" s="12"/>
      <c r="T12" s="8" t="s">
        <v>22</v>
      </c>
      <c r="U12" s="8"/>
      <c r="V12" s="1">
        <f t="shared" si="3"/>
        <v>0</v>
      </c>
      <c r="X12" s="12"/>
      <c r="Y12" s="8" t="s">
        <v>22</v>
      </c>
      <c r="Z12" s="8"/>
      <c r="AA12" s="1">
        <f t="shared" si="4"/>
        <v>0</v>
      </c>
      <c r="AC12" s="12"/>
      <c r="AD12" s="8" t="s">
        <v>22</v>
      </c>
      <c r="AE12" s="8"/>
      <c r="AF12" s="1">
        <f t="shared" si="5"/>
        <v>0</v>
      </c>
      <c r="AG12" s="95"/>
      <c r="AH12" s="12">
        <v>0.5</v>
      </c>
      <c r="AI12" s="8" t="s">
        <v>22</v>
      </c>
      <c r="AJ12" s="1">
        <f t="shared" si="8"/>
        <v>192.3</v>
      </c>
      <c r="AL12" s="42">
        <v>0</v>
      </c>
      <c r="AM12" s="8" t="s">
        <v>309</v>
      </c>
      <c r="AN12" s="99" t="e">
        <f t="shared" si="9"/>
        <v>#DIV/0!</v>
      </c>
      <c r="AO12" s="42">
        <v>0</v>
      </c>
      <c r="AQ12" s="42">
        <v>0.3</v>
      </c>
      <c r="AR12" s="8" t="s">
        <v>309</v>
      </c>
      <c r="AS12" s="99">
        <f t="shared" si="10"/>
        <v>641.0000000000001</v>
      </c>
      <c r="AT12" s="42">
        <v>192.3</v>
      </c>
      <c r="AV12" s="42"/>
      <c r="AW12" s="8" t="s">
        <v>309</v>
      </c>
      <c r="AX12" s="4" t="e">
        <f t="shared" si="13"/>
        <v>#DIV/0!</v>
      </c>
      <c r="AY12" s="109"/>
      <c r="BA12" s="42"/>
      <c r="BB12" s="8" t="s">
        <v>309</v>
      </c>
      <c r="BC12" s="99" t="e">
        <f t="shared" si="11"/>
        <v>#DIV/0!</v>
      </c>
      <c r="BD12" s="42">
        <v>0</v>
      </c>
      <c r="BF12" s="42"/>
      <c r="BG12" s="8" t="s">
        <v>309</v>
      </c>
      <c r="BH12" s="4" t="e">
        <f t="shared" si="14"/>
        <v>#DIV/0!</v>
      </c>
      <c r="BI12" s="109"/>
      <c r="BK12" s="42">
        <v>0</v>
      </c>
      <c r="BL12" s="2" t="s">
        <v>309</v>
      </c>
      <c r="BM12" s="99" t="e">
        <f t="shared" si="12"/>
        <v>#DIV/0!</v>
      </c>
      <c r="BN12" s="42">
        <v>0</v>
      </c>
    </row>
    <row r="13" spans="1:66" ht="33">
      <c r="A13" s="4" t="s">
        <v>24</v>
      </c>
      <c r="B13" s="4" t="s">
        <v>6</v>
      </c>
      <c r="C13" s="11" t="s">
        <v>106</v>
      </c>
      <c r="D13" s="42">
        <f t="shared" si="6"/>
        <v>2.8</v>
      </c>
      <c r="E13" s="2" t="s">
        <v>309</v>
      </c>
      <c r="F13" s="99">
        <f t="shared" si="7"/>
        <v>646.5357142857143</v>
      </c>
      <c r="G13" s="109">
        <f t="shared" si="0"/>
        <v>1810.3</v>
      </c>
      <c r="I13" s="12"/>
      <c r="J13" s="2" t="s">
        <v>22</v>
      </c>
      <c r="K13" s="2"/>
      <c r="L13" s="1">
        <f t="shared" si="1"/>
        <v>0</v>
      </c>
      <c r="N13" s="12"/>
      <c r="O13" s="2" t="s">
        <v>22</v>
      </c>
      <c r="P13" s="2"/>
      <c r="Q13" s="1">
        <f t="shared" si="2"/>
        <v>0</v>
      </c>
      <c r="S13" s="12"/>
      <c r="T13" s="2" t="s">
        <v>22</v>
      </c>
      <c r="U13" s="2"/>
      <c r="V13" s="1">
        <f t="shared" si="3"/>
        <v>0</v>
      </c>
      <c r="X13" s="12"/>
      <c r="Y13" s="2" t="s">
        <v>22</v>
      </c>
      <c r="Z13" s="2"/>
      <c r="AA13" s="1">
        <f t="shared" si="4"/>
        <v>0</v>
      </c>
      <c r="AC13" s="12"/>
      <c r="AD13" s="2" t="s">
        <v>22</v>
      </c>
      <c r="AE13" s="2"/>
      <c r="AF13" s="1">
        <f t="shared" si="5"/>
        <v>0</v>
      </c>
      <c r="AG13" s="95"/>
      <c r="AH13" s="12">
        <v>3.25</v>
      </c>
      <c r="AI13" s="2" t="s">
        <v>22</v>
      </c>
      <c r="AJ13" s="1">
        <f t="shared" si="8"/>
        <v>1810.3</v>
      </c>
      <c r="AL13" s="42">
        <v>0</v>
      </c>
      <c r="AM13" s="2" t="s">
        <v>309</v>
      </c>
      <c r="AN13" s="99" t="e">
        <f t="shared" si="9"/>
        <v>#DIV/0!</v>
      </c>
      <c r="AO13" s="42">
        <v>0</v>
      </c>
      <c r="AQ13" s="42">
        <v>2.8</v>
      </c>
      <c r="AR13" s="2" t="s">
        <v>309</v>
      </c>
      <c r="AS13" s="99">
        <f t="shared" si="10"/>
        <v>646.5357142857143</v>
      </c>
      <c r="AT13" s="42">
        <v>1810.3</v>
      </c>
      <c r="AV13" s="42"/>
      <c r="AW13" s="2" t="s">
        <v>309</v>
      </c>
      <c r="AX13" s="4" t="e">
        <f t="shared" si="13"/>
        <v>#DIV/0!</v>
      </c>
      <c r="AY13" s="109"/>
      <c r="BA13" s="42"/>
      <c r="BB13" s="2" t="s">
        <v>309</v>
      </c>
      <c r="BC13" s="99" t="e">
        <f t="shared" si="11"/>
        <v>#DIV/0!</v>
      </c>
      <c r="BD13" s="42">
        <v>0</v>
      </c>
      <c r="BF13" s="42"/>
      <c r="BG13" s="2" t="s">
        <v>309</v>
      </c>
      <c r="BH13" s="4" t="e">
        <f t="shared" si="14"/>
        <v>#DIV/0!</v>
      </c>
      <c r="BI13" s="109"/>
      <c r="BK13" s="42">
        <v>0</v>
      </c>
      <c r="BL13" s="8" t="s">
        <v>309</v>
      </c>
      <c r="BM13" s="99" t="e">
        <f t="shared" si="12"/>
        <v>#DIV/0!</v>
      </c>
      <c r="BN13" s="42">
        <v>0</v>
      </c>
    </row>
    <row r="14" spans="1:66" ht="33">
      <c r="A14" s="4" t="s">
        <v>24</v>
      </c>
      <c r="B14" s="4" t="s">
        <v>6</v>
      </c>
      <c r="C14" s="11" t="s">
        <v>41</v>
      </c>
      <c r="D14" s="42">
        <f t="shared" si="6"/>
        <v>0.25</v>
      </c>
      <c r="E14" s="2" t="s">
        <v>309</v>
      </c>
      <c r="F14" s="99">
        <f t="shared" si="7"/>
        <v>641</v>
      </c>
      <c r="G14" s="109"/>
      <c r="I14" s="12"/>
      <c r="J14" s="2"/>
      <c r="K14" s="2"/>
      <c r="L14" s="1"/>
      <c r="N14" s="12"/>
      <c r="O14" s="2"/>
      <c r="P14" s="2"/>
      <c r="Q14" s="1"/>
      <c r="S14" s="12"/>
      <c r="T14" s="2"/>
      <c r="U14" s="2"/>
      <c r="V14" s="1"/>
      <c r="X14" s="12"/>
      <c r="Y14" s="2"/>
      <c r="Z14" s="2"/>
      <c r="AA14" s="1"/>
      <c r="AC14" s="12"/>
      <c r="AD14" s="2"/>
      <c r="AE14" s="2"/>
      <c r="AF14" s="1"/>
      <c r="AG14" s="95"/>
      <c r="AH14" s="12"/>
      <c r="AI14" s="2"/>
      <c r="AJ14" s="1">
        <f t="shared" si="8"/>
        <v>160.25</v>
      </c>
      <c r="AL14" s="42">
        <v>0</v>
      </c>
      <c r="AM14" s="2" t="s">
        <v>309</v>
      </c>
      <c r="AN14" s="99" t="e">
        <f t="shared" si="9"/>
        <v>#DIV/0!</v>
      </c>
      <c r="AO14" s="42">
        <v>0</v>
      </c>
      <c r="AQ14" s="42">
        <v>0.25</v>
      </c>
      <c r="AR14" s="2" t="s">
        <v>309</v>
      </c>
      <c r="AS14" s="99">
        <f t="shared" si="10"/>
        <v>641</v>
      </c>
      <c r="AT14" s="42">
        <v>160.25</v>
      </c>
      <c r="AV14" s="42"/>
      <c r="AW14" s="2" t="s">
        <v>309</v>
      </c>
      <c r="AX14" s="4"/>
      <c r="AY14" s="109"/>
      <c r="BA14" s="42"/>
      <c r="BB14" s="2" t="s">
        <v>309</v>
      </c>
      <c r="BC14" s="99" t="e">
        <f t="shared" si="11"/>
        <v>#DIV/0!</v>
      </c>
      <c r="BD14" s="42">
        <v>0</v>
      </c>
      <c r="BF14" s="42"/>
      <c r="BG14" s="2" t="s">
        <v>309</v>
      </c>
      <c r="BH14" s="4"/>
      <c r="BI14" s="109"/>
      <c r="BK14" s="42">
        <v>0</v>
      </c>
      <c r="BL14" s="8" t="s">
        <v>309</v>
      </c>
      <c r="BM14" s="99" t="e">
        <f t="shared" si="12"/>
        <v>#DIV/0!</v>
      </c>
      <c r="BN14" s="42">
        <v>0</v>
      </c>
    </row>
    <row r="15" spans="1:66" ht="33">
      <c r="A15" s="4" t="s">
        <v>24</v>
      </c>
      <c r="B15" s="4" t="s">
        <v>6</v>
      </c>
      <c r="C15" s="11" t="s">
        <v>76</v>
      </c>
      <c r="D15" s="42">
        <f t="shared" si="6"/>
        <v>0</v>
      </c>
      <c r="E15" s="2" t="s">
        <v>309</v>
      </c>
      <c r="F15" s="99">
        <v>0</v>
      </c>
      <c r="G15" s="109"/>
      <c r="I15" s="12"/>
      <c r="J15" s="2"/>
      <c r="K15" s="2"/>
      <c r="L15" s="1"/>
      <c r="N15" s="12"/>
      <c r="O15" s="2"/>
      <c r="P15" s="2"/>
      <c r="Q15" s="1"/>
      <c r="S15" s="12"/>
      <c r="T15" s="2"/>
      <c r="U15" s="2"/>
      <c r="V15" s="1"/>
      <c r="X15" s="12"/>
      <c r="Y15" s="2"/>
      <c r="Z15" s="2"/>
      <c r="AA15" s="1"/>
      <c r="AC15" s="12"/>
      <c r="AD15" s="2"/>
      <c r="AE15" s="2"/>
      <c r="AF15" s="1"/>
      <c r="AG15" s="95"/>
      <c r="AH15" s="12"/>
      <c r="AI15" s="2"/>
      <c r="AJ15" s="1">
        <f t="shared" si="8"/>
        <v>0</v>
      </c>
      <c r="AL15" s="42">
        <v>0</v>
      </c>
      <c r="AM15" s="2" t="s">
        <v>309</v>
      </c>
      <c r="AN15" s="99" t="e">
        <f t="shared" si="9"/>
        <v>#DIV/0!</v>
      </c>
      <c r="AO15" s="42">
        <v>0</v>
      </c>
      <c r="AQ15" s="42">
        <v>0</v>
      </c>
      <c r="AR15" s="2" t="s">
        <v>309</v>
      </c>
      <c r="AS15" s="99" t="e">
        <f t="shared" si="10"/>
        <v>#DIV/0!</v>
      </c>
      <c r="AT15" s="42">
        <v>0</v>
      </c>
      <c r="AV15" s="42"/>
      <c r="AW15" s="2" t="s">
        <v>309</v>
      </c>
      <c r="AX15" s="4"/>
      <c r="AY15" s="109"/>
      <c r="BA15" s="42"/>
      <c r="BB15" s="2" t="s">
        <v>309</v>
      </c>
      <c r="BC15" s="99" t="e">
        <f t="shared" si="11"/>
        <v>#DIV/0!</v>
      </c>
      <c r="BD15" s="42">
        <v>0</v>
      </c>
      <c r="BF15" s="42"/>
      <c r="BG15" s="2" t="s">
        <v>309</v>
      </c>
      <c r="BH15" s="4"/>
      <c r="BI15" s="109"/>
      <c r="BK15" s="42">
        <v>0</v>
      </c>
      <c r="BL15" s="2" t="s">
        <v>309</v>
      </c>
      <c r="BM15" s="99" t="e">
        <f t="shared" si="12"/>
        <v>#DIV/0!</v>
      </c>
      <c r="BN15" s="42">
        <v>0</v>
      </c>
    </row>
    <row r="16" spans="1:66" ht="16.5">
      <c r="A16" s="4" t="s">
        <v>11</v>
      </c>
      <c r="B16" s="4" t="s">
        <v>4</v>
      </c>
      <c r="C16" s="11" t="s">
        <v>104</v>
      </c>
      <c r="D16" s="42">
        <f t="shared" si="6"/>
        <v>3</v>
      </c>
      <c r="E16" s="2" t="s">
        <v>315</v>
      </c>
      <c r="F16" s="99">
        <f t="shared" si="7"/>
        <v>545</v>
      </c>
      <c r="G16" s="109">
        <f>L16+Q16+V16+AA16+AF16+AJ16</f>
        <v>1635</v>
      </c>
      <c r="I16" s="12"/>
      <c r="J16" s="2" t="s">
        <v>23</v>
      </c>
      <c r="K16" s="2"/>
      <c r="L16" s="1">
        <f t="shared" si="1"/>
        <v>0</v>
      </c>
      <c r="N16" s="12"/>
      <c r="O16" s="2" t="s">
        <v>23</v>
      </c>
      <c r="P16" s="2"/>
      <c r="Q16" s="1">
        <f t="shared" si="2"/>
        <v>0</v>
      </c>
      <c r="S16" s="12"/>
      <c r="T16" s="2" t="s">
        <v>23</v>
      </c>
      <c r="U16" s="2"/>
      <c r="V16" s="1">
        <f t="shared" si="3"/>
        <v>0</v>
      </c>
      <c r="X16" s="12"/>
      <c r="Y16" s="2" t="s">
        <v>23</v>
      </c>
      <c r="Z16" s="2"/>
      <c r="AA16" s="1">
        <f t="shared" si="4"/>
        <v>0</v>
      </c>
      <c r="AC16" s="12"/>
      <c r="AD16" s="2" t="s">
        <v>23</v>
      </c>
      <c r="AE16" s="2"/>
      <c r="AF16" s="1">
        <f t="shared" si="5"/>
        <v>0</v>
      </c>
      <c r="AG16" s="95"/>
      <c r="AH16" s="12">
        <v>2.9</v>
      </c>
      <c r="AI16" s="2" t="s">
        <v>23</v>
      </c>
      <c r="AJ16" s="1">
        <f t="shared" si="8"/>
        <v>1635</v>
      </c>
      <c r="AL16" s="42">
        <v>0</v>
      </c>
      <c r="AM16" s="2" t="s">
        <v>315</v>
      </c>
      <c r="AN16" s="99" t="e">
        <f t="shared" si="9"/>
        <v>#DIV/0!</v>
      </c>
      <c r="AO16" s="42">
        <v>0</v>
      </c>
      <c r="AQ16" s="42">
        <v>3</v>
      </c>
      <c r="AR16" s="2" t="s">
        <v>315</v>
      </c>
      <c r="AS16" s="99">
        <f t="shared" si="10"/>
        <v>545</v>
      </c>
      <c r="AT16" s="42">
        <v>1635</v>
      </c>
      <c r="AV16" s="42"/>
      <c r="AW16" s="2" t="s">
        <v>315</v>
      </c>
      <c r="AX16" s="99" t="e">
        <f t="shared" si="13"/>
        <v>#DIV/0!</v>
      </c>
      <c r="AY16" s="109"/>
      <c r="BA16" s="42"/>
      <c r="BB16" s="2" t="s">
        <v>315</v>
      </c>
      <c r="BC16" s="99" t="e">
        <f t="shared" si="11"/>
        <v>#DIV/0!</v>
      </c>
      <c r="BD16" s="42">
        <v>0</v>
      </c>
      <c r="BF16" s="42"/>
      <c r="BG16" s="2" t="s">
        <v>315</v>
      </c>
      <c r="BH16" s="99" t="e">
        <f t="shared" si="14"/>
        <v>#DIV/0!</v>
      </c>
      <c r="BI16" s="109"/>
      <c r="BK16" s="42">
        <v>0</v>
      </c>
      <c r="BL16" s="2" t="s">
        <v>309</v>
      </c>
      <c r="BM16" s="99" t="e">
        <f t="shared" si="12"/>
        <v>#DIV/0!</v>
      </c>
      <c r="BN16" s="42">
        <v>0</v>
      </c>
    </row>
    <row r="17" spans="1:66" ht="16.5">
      <c r="A17" s="4" t="s">
        <v>11</v>
      </c>
      <c r="B17" s="4" t="s">
        <v>4</v>
      </c>
      <c r="C17" s="11" t="s">
        <v>108</v>
      </c>
      <c r="D17" s="42">
        <f t="shared" si="6"/>
        <v>139.6</v>
      </c>
      <c r="E17" s="2" t="s">
        <v>315</v>
      </c>
      <c r="F17" s="99">
        <f t="shared" si="7"/>
        <v>546.6271489971347</v>
      </c>
      <c r="G17" s="109">
        <f>L17+Q17+V17+AA17+AF17+AJ17</f>
        <v>150628.08763999998</v>
      </c>
      <c r="I17" s="12">
        <v>36.12</v>
      </c>
      <c r="J17" s="2" t="s">
        <v>23</v>
      </c>
      <c r="K17" s="2">
        <v>507.672</v>
      </c>
      <c r="L17" s="1">
        <f t="shared" si="1"/>
        <v>18337.11264</v>
      </c>
      <c r="N17" s="12">
        <v>35</v>
      </c>
      <c r="O17" s="2" t="s">
        <v>23</v>
      </c>
      <c r="P17" s="2">
        <v>483.31</v>
      </c>
      <c r="Q17" s="1">
        <f t="shared" si="2"/>
        <v>16915.85</v>
      </c>
      <c r="S17" s="12">
        <v>20</v>
      </c>
      <c r="T17" s="2" t="s">
        <v>23</v>
      </c>
      <c r="U17" s="2">
        <v>492.9</v>
      </c>
      <c r="V17" s="1">
        <f t="shared" si="3"/>
        <v>9858</v>
      </c>
      <c r="X17" s="12">
        <v>30</v>
      </c>
      <c r="Y17" s="2" t="s">
        <v>23</v>
      </c>
      <c r="Z17" s="2">
        <v>478.33</v>
      </c>
      <c r="AA17" s="1">
        <f t="shared" si="4"/>
        <v>14349.9</v>
      </c>
      <c r="AC17" s="12">
        <v>30.5</v>
      </c>
      <c r="AD17" s="2" t="s">
        <v>23</v>
      </c>
      <c r="AE17" s="2">
        <v>487.15</v>
      </c>
      <c r="AF17" s="1">
        <f t="shared" si="5"/>
        <v>14858.074999999999</v>
      </c>
      <c r="AG17" s="95"/>
      <c r="AH17" s="12">
        <v>20.9</v>
      </c>
      <c r="AI17" s="2" t="s">
        <v>23</v>
      </c>
      <c r="AJ17" s="1">
        <f t="shared" si="8"/>
        <v>76309.15</v>
      </c>
      <c r="AL17" s="42">
        <v>20</v>
      </c>
      <c r="AM17" s="2" t="s">
        <v>315</v>
      </c>
      <c r="AN17" s="99">
        <f t="shared" si="9"/>
        <v>540.4</v>
      </c>
      <c r="AO17" s="42">
        <v>10808</v>
      </c>
      <c r="AQ17" s="42">
        <v>18.4</v>
      </c>
      <c r="AR17" s="2" t="s">
        <v>315</v>
      </c>
      <c r="AS17" s="99">
        <f t="shared" si="10"/>
        <v>595.3858695652175</v>
      </c>
      <c r="AT17" s="42">
        <v>10955.1</v>
      </c>
      <c r="AV17" s="42">
        <v>34.7</v>
      </c>
      <c r="AW17" s="2" t="s">
        <v>315</v>
      </c>
      <c r="AX17" s="99">
        <f t="shared" si="13"/>
        <v>536.9755043227665</v>
      </c>
      <c r="AY17" s="109">
        <v>18633.05</v>
      </c>
      <c r="BA17" s="42">
        <v>36.5</v>
      </c>
      <c r="BB17" s="2" t="s">
        <v>315</v>
      </c>
      <c r="BC17" s="99">
        <f t="shared" si="11"/>
        <v>551.4520547945206</v>
      </c>
      <c r="BD17" s="42">
        <v>20128</v>
      </c>
      <c r="BF17" s="42">
        <v>30</v>
      </c>
      <c r="BG17" s="2" t="s">
        <v>315</v>
      </c>
      <c r="BH17" s="99">
        <f t="shared" si="14"/>
        <v>526.1666666666666</v>
      </c>
      <c r="BI17" s="109">
        <v>15785</v>
      </c>
      <c r="BK17" s="42">
        <v>0</v>
      </c>
      <c r="BL17" s="2" t="s">
        <v>309</v>
      </c>
      <c r="BM17" s="99" t="e">
        <f t="shared" si="12"/>
        <v>#DIV/0!</v>
      </c>
      <c r="BN17" s="42">
        <v>0</v>
      </c>
    </row>
    <row r="18" spans="1:66" ht="16.5">
      <c r="A18" s="4" t="s">
        <v>11</v>
      </c>
      <c r="B18" s="4" t="s">
        <v>4</v>
      </c>
      <c r="C18" s="11" t="s">
        <v>18</v>
      </c>
      <c r="D18" s="42">
        <f t="shared" si="6"/>
        <v>0</v>
      </c>
      <c r="E18" s="2" t="s">
        <v>315</v>
      </c>
      <c r="F18" s="99">
        <v>0</v>
      </c>
      <c r="G18" s="103"/>
      <c r="I18" s="65"/>
      <c r="J18" s="24"/>
      <c r="K18" s="24"/>
      <c r="L18" s="103"/>
      <c r="N18" s="65"/>
      <c r="O18" s="24"/>
      <c r="P18" s="24"/>
      <c r="Q18" s="103"/>
      <c r="S18" s="65"/>
      <c r="T18" s="24"/>
      <c r="U18" s="24"/>
      <c r="V18" s="103"/>
      <c r="X18" s="65"/>
      <c r="Y18" s="24"/>
      <c r="Z18" s="24"/>
      <c r="AA18" s="103"/>
      <c r="AC18" s="65"/>
      <c r="AD18" s="24"/>
      <c r="AE18" s="24"/>
      <c r="AF18" s="103"/>
      <c r="AG18" s="62"/>
      <c r="AH18" s="65"/>
      <c r="AI18" s="24"/>
      <c r="AJ18" s="1">
        <f t="shared" si="8"/>
        <v>0</v>
      </c>
      <c r="AL18" s="42">
        <v>0</v>
      </c>
      <c r="AM18" s="2" t="s">
        <v>315</v>
      </c>
      <c r="AN18" s="99" t="e">
        <f t="shared" si="9"/>
        <v>#DIV/0!</v>
      </c>
      <c r="AO18" s="42">
        <v>0</v>
      </c>
      <c r="AQ18" s="42">
        <v>0</v>
      </c>
      <c r="AR18" s="2" t="s">
        <v>315</v>
      </c>
      <c r="AS18" s="99" t="e">
        <f t="shared" si="10"/>
        <v>#DIV/0!</v>
      </c>
      <c r="AT18" s="42">
        <v>0</v>
      </c>
      <c r="AV18" s="42"/>
      <c r="AW18" s="2" t="s">
        <v>315</v>
      </c>
      <c r="AX18" s="99"/>
      <c r="AY18" s="109"/>
      <c r="BA18" s="42"/>
      <c r="BB18" s="2" t="s">
        <v>315</v>
      </c>
      <c r="BC18" s="99" t="e">
        <f t="shared" si="11"/>
        <v>#DIV/0!</v>
      </c>
      <c r="BD18" s="42">
        <v>0</v>
      </c>
      <c r="BF18" s="42"/>
      <c r="BG18" s="2" t="s">
        <v>315</v>
      </c>
      <c r="BH18" s="99"/>
      <c r="BI18" s="109"/>
      <c r="BK18" s="42">
        <v>0</v>
      </c>
      <c r="BL18" s="2" t="s">
        <v>315</v>
      </c>
      <c r="BM18" s="99" t="e">
        <f t="shared" si="12"/>
        <v>#DIV/0!</v>
      </c>
      <c r="BN18" s="42">
        <v>0</v>
      </c>
    </row>
    <row r="19" spans="1:66" ht="16.5">
      <c r="A19" s="3" t="s">
        <v>3</v>
      </c>
      <c r="B19" s="4" t="s">
        <v>46</v>
      </c>
      <c r="C19" s="11" t="s">
        <v>13</v>
      </c>
      <c r="D19" s="42">
        <f t="shared" si="6"/>
        <v>174.55</v>
      </c>
      <c r="E19" s="4" t="s">
        <v>313</v>
      </c>
      <c r="F19" s="99">
        <f t="shared" si="7"/>
        <v>448.2526496705815</v>
      </c>
      <c r="G19" s="103">
        <f aca="true" t="shared" si="15" ref="G19:G33">L19+Q19+V19+AA19+AF19+AJ19</f>
        <v>142633.5</v>
      </c>
      <c r="I19" s="103">
        <v>37.75</v>
      </c>
      <c r="J19" s="22" t="s">
        <v>20</v>
      </c>
      <c r="K19" s="22">
        <v>380</v>
      </c>
      <c r="L19" s="103">
        <f t="shared" si="1"/>
        <v>14345</v>
      </c>
      <c r="N19" s="103">
        <v>34.75</v>
      </c>
      <c r="O19" s="22" t="s">
        <v>20</v>
      </c>
      <c r="P19" s="22">
        <v>380</v>
      </c>
      <c r="Q19" s="103">
        <f t="shared" si="2"/>
        <v>13205</v>
      </c>
      <c r="S19" s="103">
        <v>22.95</v>
      </c>
      <c r="T19" s="22" t="s">
        <v>20</v>
      </c>
      <c r="U19" s="22">
        <v>380</v>
      </c>
      <c r="V19" s="103">
        <f t="shared" si="3"/>
        <v>8721</v>
      </c>
      <c r="X19" s="103">
        <v>35.25</v>
      </c>
      <c r="Y19" s="22" t="s">
        <v>20</v>
      </c>
      <c r="Z19" s="22">
        <v>380</v>
      </c>
      <c r="AA19" s="103">
        <f t="shared" si="4"/>
        <v>13395</v>
      </c>
      <c r="AC19" s="103">
        <v>38.75</v>
      </c>
      <c r="AD19" s="22" t="s">
        <v>20</v>
      </c>
      <c r="AE19" s="22">
        <v>380</v>
      </c>
      <c r="AF19" s="103">
        <f t="shared" si="5"/>
        <v>14725</v>
      </c>
      <c r="AG19" s="106"/>
      <c r="AH19" s="103">
        <v>13</v>
      </c>
      <c r="AI19" s="22" t="s">
        <v>20</v>
      </c>
      <c r="AJ19" s="1">
        <f t="shared" si="8"/>
        <v>78242.5</v>
      </c>
      <c r="AL19" s="42">
        <v>23.2</v>
      </c>
      <c r="AM19" s="4" t="s">
        <v>313</v>
      </c>
      <c r="AN19" s="99">
        <f t="shared" si="9"/>
        <v>430</v>
      </c>
      <c r="AO19" s="42">
        <v>9976</v>
      </c>
      <c r="AQ19" s="42">
        <v>13.1</v>
      </c>
      <c r="AR19" s="4" t="s">
        <v>313</v>
      </c>
      <c r="AS19" s="99">
        <f t="shared" si="10"/>
        <v>431.14503816793894</v>
      </c>
      <c r="AT19" s="42">
        <v>5648</v>
      </c>
      <c r="AV19" s="42">
        <v>34.75</v>
      </c>
      <c r="AW19" s="4" t="s">
        <v>313</v>
      </c>
      <c r="AX19" s="4">
        <f t="shared" si="13"/>
        <v>430</v>
      </c>
      <c r="AY19" s="109">
        <v>14942.5</v>
      </c>
      <c r="BA19" s="42">
        <v>37.75</v>
      </c>
      <c r="BB19" s="4" t="s">
        <v>313</v>
      </c>
      <c r="BC19" s="99">
        <f t="shared" si="11"/>
        <v>430</v>
      </c>
      <c r="BD19" s="42">
        <v>16232.5</v>
      </c>
      <c r="BF19" s="42">
        <v>35.25</v>
      </c>
      <c r="BG19" s="4" t="s">
        <v>313</v>
      </c>
      <c r="BH19" s="4">
        <f t="shared" si="14"/>
        <v>430</v>
      </c>
      <c r="BI19" s="109">
        <v>15157.5</v>
      </c>
      <c r="BK19" s="42">
        <v>30.5</v>
      </c>
      <c r="BL19" s="2" t="s">
        <v>315</v>
      </c>
      <c r="BM19" s="99">
        <f t="shared" si="12"/>
        <v>533.9672131147541</v>
      </c>
      <c r="BN19" s="42">
        <v>16286</v>
      </c>
    </row>
    <row r="20" spans="1:66" ht="16.5">
      <c r="A20" s="3" t="s">
        <v>3</v>
      </c>
      <c r="B20" s="2" t="s">
        <v>48</v>
      </c>
      <c r="C20" s="11" t="s">
        <v>90</v>
      </c>
      <c r="D20" s="42">
        <f t="shared" si="6"/>
        <v>120</v>
      </c>
      <c r="E20" s="8" t="s">
        <v>314</v>
      </c>
      <c r="F20" s="99">
        <f t="shared" si="7"/>
        <v>536.0333333333333</v>
      </c>
      <c r="G20" s="103">
        <f t="shared" si="15"/>
        <v>131779.88199999998</v>
      </c>
      <c r="I20" s="65">
        <v>34</v>
      </c>
      <c r="J20" s="25" t="s">
        <v>19</v>
      </c>
      <c r="K20" s="25">
        <v>487.853</v>
      </c>
      <c r="L20" s="103">
        <f t="shared" si="1"/>
        <v>16587.002</v>
      </c>
      <c r="N20" s="65">
        <v>31</v>
      </c>
      <c r="O20" s="25" t="s">
        <v>19</v>
      </c>
      <c r="P20" s="25">
        <v>477.61</v>
      </c>
      <c r="Q20" s="103">
        <f t="shared" si="2"/>
        <v>14805.91</v>
      </c>
      <c r="S20" s="65">
        <v>19</v>
      </c>
      <c r="T20" s="25" t="s">
        <v>19</v>
      </c>
      <c r="U20" s="25">
        <v>497.05</v>
      </c>
      <c r="V20" s="103">
        <f t="shared" si="3"/>
        <v>9443.95</v>
      </c>
      <c r="X20" s="65">
        <v>26</v>
      </c>
      <c r="Y20" s="25" t="s">
        <v>19</v>
      </c>
      <c r="Z20" s="25">
        <v>481.04</v>
      </c>
      <c r="AA20" s="103">
        <f t="shared" si="4"/>
        <v>12507.04</v>
      </c>
      <c r="AC20" s="65">
        <v>29</v>
      </c>
      <c r="AD20" s="25" t="s">
        <v>19</v>
      </c>
      <c r="AE20" s="25">
        <v>486.62</v>
      </c>
      <c r="AF20" s="103">
        <f t="shared" si="5"/>
        <v>14111.98</v>
      </c>
      <c r="AG20" s="62"/>
      <c r="AH20" s="65">
        <v>8</v>
      </c>
      <c r="AI20" s="25" t="s">
        <v>19</v>
      </c>
      <c r="AJ20" s="1">
        <f t="shared" si="8"/>
        <v>64324</v>
      </c>
      <c r="AL20" s="42">
        <v>19</v>
      </c>
      <c r="AM20" s="8" t="s">
        <v>314</v>
      </c>
      <c r="AN20" s="99">
        <f t="shared" si="9"/>
        <v>552.3157894736842</v>
      </c>
      <c r="AO20" s="42">
        <v>10494</v>
      </c>
      <c r="AQ20" s="42">
        <v>10</v>
      </c>
      <c r="AR20" s="8" t="s">
        <v>314</v>
      </c>
      <c r="AS20" s="99">
        <f t="shared" si="10"/>
        <v>539.2</v>
      </c>
      <c r="AT20" s="42">
        <v>5392</v>
      </c>
      <c r="AV20" s="42">
        <v>31</v>
      </c>
      <c r="AW20" s="8" t="s">
        <v>314</v>
      </c>
      <c r="AX20" s="99">
        <f t="shared" si="13"/>
        <v>527.6129032258065</v>
      </c>
      <c r="AY20" s="109">
        <v>16356</v>
      </c>
      <c r="BA20" s="42">
        <v>33</v>
      </c>
      <c r="BB20" s="8" t="s">
        <v>314</v>
      </c>
      <c r="BC20" s="99">
        <f t="shared" si="11"/>
        <v>537.7878787878788</v>
      </c>
      <c r="BD20" s="42">
        <v>17747</v>
      </c>
      <c r="BF20" s="42">
        <v>27</v>
      </c>
      <c r="BG20" s="8" t="s">
        <v>314</v>
      </c>
      <c r="BH20" s="99">
        <f t="shared" si="14"/>
        <v>530.925925925926</v>
      </c>
      <c r="BI20" s="109">
        <v>14335</v>
      </c>
      <c r="BK20" s="42">
        <v>0</v>
      </c>
      <c r="BL20" s="2" t="s">
        <v>315</v>
      </c>
      <c r="BM20" s="99" t="e">
        <f t="shared" si="12"/>
        <v>#DIV/0!</v>
      </c>
      <c r="BN20" s="42">
        <v>0</v>
      </c>
    </row>
    <row r="21" spans="1:66" s="14" customFormat="1" ht="17.25" customHeight="1">
      <c r="A21" s="3" t="s">
        <v>3</v>
      </c>
      <c r="B21" s="4" t="s">
        <v>4</v>
      </c>
      <c r="C21" s="11" t="s">
        <v>100</v>
      </c>
      <c r="D21" s="42">
        <f t="shared" si="6"/>
        <v>38.75</v>
      </c>
      <c r="E21" s="8" t="s">
        <v>316</v>
      </c>
      <c r="F21" s="99">
        <f t="shared" si="7"/>
        <v>430</v>
      </c>
      <c r="G21" s="107">
        <f t="shared" si="15"/>
        <v>16757.5</v>
      </c>
      <c r="H21" s="61"/>
      <c r="I21" s="64"/>
      <c r="J21" s="49" t="s">
        <v>21</v>
      </c>
      <c r="K21" s="49"/>
      <c r="L21" s="104">
        <f t="shared" si="1"/>
        <v>0</v>
      </c>
      <c r="M21" s="61"/>
      <c r="N21" s="64"/>
      <c r="O21" s="49" t="s">
        <v>21</v>
      </c>
      <c r="P21" s="49"/>
      <c r="Q21" s="104">
        <f t="shared" si="2"/>
        <v>0</v>
      </c>
      <c r="R21" s="61"/>
      <c r="S21" s="64">
        <v>0.25</v>
      </c>
      <c r="T21" s="49" t="s">
        <v>21</v>
      </c>
      <c r="U21" s="49">
        <v>380</v>
      </c>
      <c r="V21" s="104">
        <f t="shared" si="3"/>
        <v>95</v>
      </c>
      <c r="W21" s="61"/>
      <c r="X21" s="64"/>
      <c r="Y21" s="49" t="s">
        <v>21</v>
      </c>
      <c r="Z21" s="49"/>
      <c r="AA21" s="104">
        <f t="shared" si="4"/>
        <v>0</v>
      </c>
      <c r="AB21" s="61"/>
      <c r="AC21" s="64"/>
      <c r="AD21" s="49" t="s">
        <v>21</v>
      </c>
      <c r="AE21" s="49"/>
      <c r="AF21" s="104">
        <f t="shared" si="5"/>
        <v>0</v>
      </c>
      <c r="AG21" s="95"/>
      <c r="AH21" s="64"/>
      <c r="AI21" s="49" t="s">
        <v>21</v>
      </c>
      <c r="AJ21" s="1">
        <f t="shared" si="8"/>
        <v>16662.5</v>
      </c>
      <c r="AK21" s="61"/>
      <c r="AL21" s="42">
        <v>0.25</v>
      </c>
      <c r="AM21" s="8" t="s">
        <v>316</v>
      </c>
      <c r="AN21" s="99">
        <f t="shared" si="9"/>
        <v>430</v>
      </c>
      <c r="AO21" s="42">
        <v>107.5</v>
      </c>
      <c r="AP21" s="93"/>
      <c r="AQ21" s="42">
        <v>0</v>
      </c>
      <c r="AR21" s="8" t="s">
        <v>316</v>
      </c>
      <c r="AS21" s="99" t="e">
        <f t="shared" si="10"/>
        <v>#DIV/0!</v>
      </c>
      <c r="AT21" s="42">
        <v>0</v>
      </c>
      <c r="AU21" s="93"/>
      <c r="AV21" s="42"/>
      <c r="AW21" s="8" t="s">
        <v>316</v>
      </c>
      <c r="AX21" s="4" t="e">
        <f t="shared" si="13"/>
        <v>#DIV/0!</v>
      </c>
      <c r="AY21" s="109"/>
      <c r="AZ21" s="93"/>
      <c r="BA21" s="42"/>
      <c r="BB21" s="8" t="s">
        <v>316</v>
      </c>
      <c r="BC21" s="99" t="e">
        <f t="shared" si="11"/>
        <v>#DIV/0!</v>
      </c>
      <c r="BD21" s="42">
        <v>0</v>
      </c>
      <c r="BE21" s="93"/>
      <c r="BF21" s="42"/>
      <c r="BG21" s="8" t="s">
        <v>316</v>
      </c>
      <c r="BH21" s="4" t="e">
        <f t="shared" si="14"/>
        <v>#DIV/0!</v>
      </c>
      <c r="BI21" s="109"/>
      <c r="BJ21" s="93"/>
      <c r="BK21" s="42">
        <v>38.5</v>
      </c>
      <c r="BL21" s="4" t="s">
        <v>313</v>
      </c>
      <c r="BM21" s="99">
        <f t="shared" si="12"/>
        <v>430</v>
      </c>
      <c r="BN21" s="42">
        <v>16555</v>
      </c>
    </row>
    <row r="22" spans="1:66" s="14" customFormat="1" ht="36" customHeight="1">
      <c r="A22" s="3" t="s">
        <v>3</v>
      </c>
      <c r="B22" s="4" t="s">
        <v>4</v>
      </c>
      <c r="C22" s="11" t="s">
        <v>74</v>
      </c>
      <c r="D22" s="42">
        <f t="shared" si="6"/>
        <v>164.5</v>
      </c>
      <c r="E22" s="8" t="s">
        <v>316</v>
      </c>
      <c r="F22" s="99">
        <f t="shared" si="7"/>
        <v>504.3465045592705</v>
      </c>
      <c r="G22" s="108">
        <f t="shared" si="15"/>
        <v>150848.477</v>
      </c>
      <c r="H22" s="61"/>
      <c r="I22" s="105">
        <v>33</v>
      </c>
      <c r="J22" s="48" t="s">
        <v>21</v>
      </c>
      <c r="K22" s="48">
        <v>446.939</v>
      </c>
      <c r="L22" s="67">
        <f t="shared" si="1"/>
        <v>14748.987000000001</v>
      </c>
      <c r="M22" s="61"/>
      <c r="N22" s="105">
        <v>35.25</v>
      </c>
      <c r="O22" s="48" t="s">
        <v>21</v>
      </c>
      <c r="P22" s="48">
        <v>445.06</v>
      </c>
      <c r="Q22" s="67">
        <f t="shared" si="2"/>
        <v>15688.365</v>
      </c>
      <c r="R22" s="61"/>
      <c r="S22" s="105">
        <v>20.75</v>
      </c>
      <c r="T22" s="48" t="s">
        <v>21</v>
      </c>
      <c r="U22" s="48">
        <v>448.31</v>
      </c>
      <c r="V22" s="67">
        <f t="shared" si="3"/>
        <v>9302.4325</v>
      </c>
      <c r="W22" s="61"/>
      <c r="X22" s="105">
        <v>33</v>
      </c>
      <c r="Y22" s="48" t="s">
        <v>21</v>
      </c>
      <c r="Z22" s="48">
        <v>444.73</v>
      </c>
      <c r="AA22" s="67">
        <f t="shared" si="4"/>
        <v>14676.09</v>
      </c>
      <c r="AB22" s="61"/>
      <c r="AC22" s="105">
        <v>30.25</v>
      </c>
      <c r="AD22" s="48" t="s">
        <v>21</v>
      </c>
      <c r="AE22" s="48">
        <v>445.21</v>
      </c>
      <c r="AF22" s="67">
        <f t="shared" si="5"/>
        <v>13467.602499999999</v>
      </c>
      <c r="AG22" s="95"/>
      <c r="AH22" s="105">
        <v>16.75</v>
      </c>
      <c r="AI22" s="48" t="s">
        <v>21</v>
      </c>
      <c r="AJ22" s="1">
        <f t="shared" si="8"/>
        <v>82965</v>
      </c>
      <c r="AK22" s="61"/>
      <c r="AL22" s="42">
        <v>20.75</v>
      </c>
      <c r="AM22" s="8" t="s">
        <v>316</v>
      </c>
      <c r="AN22" s="99">
        <f t="shared" si="9"/>
        <v>501.4698795180723</v>
      </c>
      <c r="AO22" s="42">
        <v>10405.5</v>
      </c>
      <c r="AP22" s="93"/>
      <c r="AQ22" s="42">
        <v>14.5</v>
      </c>
      <c r="AR22" s="8" t="s">
        <v>316</v>
      </c>
      <c r="AS22" s="99">
        <f t="shared" si="10"/>
        <v>499.0689655172414</v>
      </c>
      <c r="AT22" s="42">
        <v>7236.5</v>
      </c>
      <c r="AU22" s="93"/>
      <c r="AV22" s="42">
        <v>35.5</v>
      </c>
      <c r="AW22" s="8" t="s">
        <v>316</v>
      </c>
      <c r="AX22" s="99">
        <f t="shared" si="13"/>
        <v>497.3098591549296</v>
      </c>
      <c r="AY22" s="109">
        <v>17654.5</v>
      </c>
      <c r="AZ22" s="93"/>
      <c r="BA22" s="42">
        <v>34</v>
      </c>
      <c r="BB22" s="8" t="s">
        <v>316</v>
      </c>
      <c r="BC22" s="99">
        <f t="shared" si="11"/>
        <v>498.2352941176471</v>
      </c>
      <c r="BD22" s="42">
        <v>16940</v>
      </c>
      <c r="BE22" s="93"/>
      <c r="BF22" s="42">
        <v>31.75</v>
      </c>
      <c r="BG22" s="8" t="s">
        <v>316</v>
      </c>
      <c r="BH22" s="99">
        <f t="shared" si="14"/>
        <v>495.00787401574803</v>
      </c>
      <c r="BI22" s="109">
        <v>15716.5</v>
      </c>
      <c r="BJ22" s="93"/>
      <c r="BK22" s="42">
        <v>28</v>
      </c>
      <c r="BL22" s="8" t="s">
        <v>314</v>
      </c>
      <c r="BM22" s="99">
        <f t="shared" si="12"/>
        <v>536.1428571428571</v>
      </c>
      <c r="BN22" s="42">
        <v>15012</v>
      </c>
    </row>
    <row r="23" spans="1:66" s="14" customFormat="1" ht="16.5">
      <c r="A23" s="3" t="s">
        <v>3</v>
      </c>
      <c r="B23" s="4" t="s">
        <v>30</v>
      </c>
      <c r="C23" s="11" t="s">
        <v>97</v>
      </c>
      <c r="D23" s="42">
        <f t="shared" si="6"/>
        <v>0.2</v>
      </c>
      <c r="E23" s="8" t="s">
        <v>316</v>
      </c>
      <c r="F23" s="99">
        <f t="shared" si="7"/>
        <v>430</v>
      </c>
      <c r="G23" s="109">
        <f t="shared" si="15"/>
        <v>1226</v>
      </c>
      <c r="H23" s="61"/>
      <c r="I23" s="12"/>
      <c r="J23" s="8" t="s">
        <v>21</v>
      </c>
      <c r="K23" s="8"/>
      <c r="L23" s="1">
        <f t="shared" si="1"/>
        <v>0</v>
      </c>
      <c r="M23" s="61"/>
      <c r="N23" s="12"/>
      <c r="O23" s="8" t="s">
        <v>21</v>
      </c>
      <c r="P23" s="8"/>
      <c r="Q23" s="1">
        <f t="shared" si="2"/>
        <v>0</v>
      </c>
      <c r="R23" s="61"/>
      <c r="S23" s="12"/>
      <c r="T23" s="8" t="s">
        <v>21</v>
      </c>
      <c r="U23" s="8"/>
      <c r="V23" s="1">
        <f t="shared" si="3"/>
        <v>0</v>
      </c>
      <c r="W23" s="61"/>
      <c r="X23" s="12"/>
      <c r="Y23" s="8" t="s">
        <v>21</v>
      </c>
      <c r="Z23" s="8"/>
      <c r="AA23" s="1">
        <f t="shared" si="4"/>
        <v>0</v>
      </c>
      <c r="AB23" s="61"/>
      <c r="AC23" s="12">
        <v>3</v>
      </c>
      <c r="AD23" s="8" t="s">
        <v>21</v>
      </c>
      <c r="AE23" s="8">
        <v>380</v>
      </c>
      <c r="AF23" s="1">
        <f t="shared" si="5"/>
        <v>1140</v>
      </c>
      <c r="AG23" s="95"/>
      <c r="AH23" s="12">
        <v>0.4</v>
      </c>
      <c r="AI23" s="8" t="s">
        <v>21</v>
      </c>
      <c r="AJ23" s="1">
        <f t="shared" si="8"/>
        <v>86</v>
      </c>
      <c r="AK23" s="61"/>
      <c r="AL23" s="42">
        <v>0</v>
      </c>
      <c r="AM23" s="8" t="s">
        <v>316</v>
      </c>
      <c r="AN23" s="99" t="e">
        <f t="shared" si="9"/>
        <v>#DIV/0!</v>
      </c>
      <c r="AO23" s="42">
        <v>0</v>
      </c>
      <c r="AP23" s="93"/>
      <c r="AQ23" s="42">
        <v>0.2</v>
      </c>
      <c r="AR23" s="8" t="s">
        <v>316</v>
      </c>
      <c r="AS23" s="99">
        <f t="shared" si="10"/>
        <v>430</v>
      </c>
      <c r="AT23" s="42">
        <v>86</v>
      </c>
      <c r="AU23" s="93"/>
      <c r="AV23" s="42"/>
      <c r="AW23" s="8" t="s">
        <v>316</v>
      </c>
      <c r="AX23" s="4" t="e">
        <f t="shared" si="13"/>
        <v>#DIV/0!</v>
      </c>
      <c r="AY23" s="109"/>
      <c r="AZ23" s="93"/>
      <c r="BA23" s="42"/>
      <c r="BB23" s="8" t="s">
        <v>316</v>
      </c>
      <c r="BC23" s="99" t="e">
        <f t="shared" si="11"/>
        <v>#DIV/0!</v>
      </c>
      <c r="BD23" s="42">
        <v>0</v>
      </c>
      <c r="BE23" s="93"/>
      <c r="BF23" s="42"/>
      <c r="BG23" s="8" t="s">
        <v>316</v>
      </c>
      <c r="BH23" s="4" t="e">
        <f t="shared" si="14"/>
        <v>#DIV/0!</v>
      </c>
      <c r="BI23" s="109"/>
      <c r="BJ23" s="93"/>
      <c r="BK23" s="42">
        <v>0</v>
      </c>
      <c r="BL23" s="8" t="s">
        <v>316</v>
      </c>
      <c r="BM23" s="99" t="e">
        <f t="shared" si="12"/>
        <v>#DIV/0!</v>
      </c>
      <c r="BN23" s="42">
        <v>0</v>
      </c>
    </row>
    <row r="24" spans="1:66" ht="16.5">
      <c r="A24" s="3" t="s">
        <v>3</v>
      </c>
      <c r="B24" s="4" t="s">
        <v>30</v>
      </c>
      <c r="C24" s="11" t="s">
        <v>57</v>
      </c>
      <c r="D24" s="42">
        <f t="shared" si="6"/>
        <v>29.25</v>
      </c>
      <c r="E24" s="4" t="s">
        <v>313</v>
      </c>
      <c r="F24" s="99">
        <f t="shared" si="7"/>
        <v>495.43589743589746</v>
      </c>
      <c r="G24" s="109">
        <f t="shared" si="15"/>
        <v>15631.5</v>
      </c>
      <c r="I24" s="12"/>
      <c r="J24" s="4" t="s">
        <v>20</v>
      </c>
      <c r="K24" s="4"/>
      <c r="L24" s="1">
        <f t="shared" si="1"/>
        <v>0</v>
      </c>
      <c r="N24" s="12"/>
      <c r="O24" s="4" t="s">
        <v>20</v>
      </c>
      <c r="P24" s="4"/>
      <c r="Q24" s="1">
        <f t="shared" si="2"/>
        <v>0</v>
      </c>
      <c r="S24" s="12"/>
      <c r="T24" s="4" t="s">
        <v>20</v>
      </c>
      <c r="U24" s="4"/>
      <c r="V24" s="1">
        <f t="shared" si="3"/>
        <v>0</v>
      </c>
      <c r="X24" s="12"/>
      <c r="Y24" s="4" t="s">
        <v>20</v>
      </c>
      <c r="Z24" s="4"/>
      <c r="AA24" s="1">
        <f t="shared" si="4"/>
        <v>0</v>
      </c>
      <c r="AC24" s="12">
        <v>3</v>
      </c>
      <c r="AD24" s="4" t="s">
        <v>20</v>
      </c>
      <c r="AE24" s="4">
        <v>380</v>
      </c>
      <c r="AF24" s="1">
        <f t="shared" si="5"/>
        <v>1140</v>
      </c>
      <c r="AG24" s="95"/>
      <c r="AH24" s="12"/>
      <c r="AI24" s="4" t="s">
        <v>20</v>
      </c>
      <c r="AJ24" s="1">
        <f t="shared" si="8"/>
        <v>14491.5</v>
      </c>
      <c r="AL24" s="42">
        <v>0</v>
      </c>
      <c r="AM24" s="4" t="s">
        <v>313</v>
      </c>
      <c r="AN24" s="99" t="e">
        <f t="shared" si="9"/>
        <v>#DIV/0!</v>
      </c>
      <c r="AO24" s="42">
        <v>0</v>
      </c>
      <c r="AQ24" s="42">
        <v>0</v>
      </c>
      <c r="AR24" s="4" t="s">
        <v>313</v>
      </c>
      <c r="AS24" s="99" t="e">
        <f t="shared" si="10"/>
        <v>#DIV/0!</v>
      </c>
      <c r="AT24" s="42">
        <v>0</v>
      </c>
      <c r="AV24" s="42"/>
      <c r="AW24" s="4" t="s">
        <v>313</v>
      </c>
      <c r="AX24" s="4" t="e">
        <f t="shared" si="13"/>
        <v>#DIV/0!</v>
      </c>
      <c r="AY24" s="109"/>
      <c r="BA24" s="42"/>
      <c r="BB24" s="4" t="s">
        <v>313</v>
      </c>
      <c r="BC24" s="99" t="e">
        <f t="shared" si="11"/>
        <v>#DIV/0!</v>
      </c>
      <c r="BD24" s="42">
        <v>0</v>
      </c>
      <c r="BF24" s="42"/>
      <c r="BG24" s="4" t="s">
        <v>313</v>
      </c>
      <c r="BH24" s="4" t="e">
        <f t="shared" si="14"/>
        <v>#DIV/0!</v>
      </c>
      <c r="BI24" s="109"/>
      <c r="BK24" s="42">
        <v>29.25</v>
      </c>
      <c r="BL24" s="8" t="s">
        <v>316</v>
      </c>
      <c r="BM24" s="99">
        <f t="shared" si="12"/>
        <v>495.43589743589746</v>
      </c>
      <c r="BN24" s="42">
        <v>14491.5</v>
      </c>
    </row>
    <row r="25" spans="1:66" ht="16.5">
      <c r="A25" s="3" t="s">
        <v>3</v>
      </c>
      <c r="B25" s="4" t="s">
        <v>30</v>
      </c>
      <c r="C25" s="11" t="s">
        <v>88</v>
      </c>
      <c r="D25" s="42">
        <f t="shared" si="6"/>
        <v>96.9</v>
      </c>
      <c r="E25" s="4" t="s">
        <v>313</v>
      </c>
      <c r="F25" s="99">
        <f t="shared" si="7"/>
        <v>430.3869969040247</v>
      </c>
      <c r="G25" s="109">
        <f t="shared" si="15"/>
        <v>83012.475</v>
      </c>
      <c r="I25" s="12">
        <v>25.25</v>
      </c>
      <c r="J25" s="4" t="s">
        <v>20</v>
      </c>
      <c r="K25" s="4">
        <v>380</v>
      </c>
      <c r="L25" s="1">
        <f t="shared" si="1"/>
        <v>9595</v>
      </c>
      <c r="N25" s="12">
        <v>25</v>
      </c>
      <c r="O25" s="4" t="s">
        <v>20</v>
      </c>
      <c r="P25" s="4">
        <v>380</v>
      </c>
      <c r="Q25" s="1">
        <f t="shared" si="2"/>
        <v>9500</v>
      </c>
      <c r="S25" s="12">
        <v>15</v>
      </c>
      <c r="T25" s="4" t="s">
        <v>20</v>
      </c>
      <c r="U25" s="4">
        <v>381</v>
      </c>
      <c r="V25" s="1">
        <f t="shared" si="3"/>
        <v>5715</v>
      </c>
      <c r="X25" s="12">
        <v>19.5</v>
      </c>
      <c r="Y25" s="4" t="s">
        <v>20</v>
      </c>
      <c r="Z25" s="4">
        <v>380</v>
      </c>
      <c r="AA25" s="1">
        <f t="shared" si="4"/>
        <v>7410</v>
      </c>
      <c r="AC25" s="12">
        <v>23.9</v>
      </c>
      <c r="AD25" s="4" t="s">
        <v>20</v>
      </c>
      <c r="AE25" s="4">
        <v>380.25</v>
      </c>
      <c r="AF25" s="1">
        <f t="shared" si="5"/>
        <v>9087.975</v>
      </c>
      <c r="AG25" s="95"/>
      <c r="AH25" s="12">
        <v>9.25</v>
      </c>
      <c r="AI25" s="4" t="s">
        <v>20</v>
      </c>
      <c r="AJ25" s="1">
        <f t="shared" si="8"/>
        <v>41704.5</v>
      </c>
      <c r="AL25" s="42">
        <v>15</v>
      </c>
      <c r="AM25" s="4" t="s">
        <v>313</v>
      </c>
      <c r="AN25" s="99">
        <f t="shared" si="9"/>
        <v>431</v>
      </c>
      <c r="AO25" s="42">
        <v>6465</v>
      </c>
      <c r="AQ25" s="42">
        <v>9.15</v>
      </c>
      <c r="AR25" s="4" t="s">
        <v>313</v>
      </c>
      <c r="AS25" s="99">
        <f t="shared" si="10"/>
        <v>432.4590163934426</v>
      </c>
      <c r="AT25" s="42">
        <v>3957</v>
      </c>
      <c r="AV25" s="42">
        <v>24.75</v>
      </c>
      <c r="AW25" s="4" t="s">
        <v>313</v>
      </c>
      <c r="AX25" s="99">
        <f t="shared" si="13"/>
        <v>430</v>
      </c>
      <c r="AY25" s="109">
        <v>10642.5</v>
      </c>
      <c r="BA25" s="42">
        <v>25.5</v>
      </c>
      <c r="BB25" s="4" t="s">
        <v>313</v>
      </c>
      <c r="BC25" s="99">
        <f t="shared" si="11"/>
        <v>430</v>
      </c>
      <c r="BD25" s="42">
        <v>10965</v>
      </c>
      <c r="BF25" s="42">
        <v>19.5</v>
      </c>
      <c r="BG25" s="4" t="s">
        <v>313</v>
      </c>
      <c r="BH25" s="99">
        <f t="shared" si="14"/>
        <v>430</v>
      </c>
      <c r="BI25" s="109">
        <v>8385</v>
      </c>
      <c r="BK25" s="42">
        <v>3</v>
      </c>
      <c r="BL25" s="8" t="s">
        <v>316</v>
      </c>
      <c r="BM25" s="99">
        <f t="shared" si="12"/>
        <v>430</v>
      </c>
      <c r="BN25" s="42">
        <v>1290</v>
      </c>
    </row>
    <row r="26" spans="1:66" ht="16.5">
      <c r="A26" s="3" t="s">
        <v>3</v>
      </c>
      <c r="B26" s="4" t="s">
        <v>30</v>
      </c>
      <c r="C26" s="11" t="s">
        <v>92</v>
      </c>
      <c r="D26" s="42">
        <f t="shared" si="6"/>
        <v>102.4</v>
      </c>
      <c r="E26" s="8" t="s">
        <v>316</v>
      </c>
      <c r="F26" s="99">
        <f t="shared" si="7"/>
        <v>448.0224609375</v>
      </c>
      <c r="G26" s="109">
        <f t="shared" si="15"/>
        <v>91442.19750000001</v>
      </c>
      <c r="I26" s="12">
        <v>25</v>
      </c>
      <c r="J26" s="8" t="s">
        <v>21</v>
      </c>
      <c r="K26" s="8">
        <v>401.8</v>
      </c>
      <c r="L26" s="1">
        <f t="shared" si="1"/>
        <v>10045</v>
      </c>
      <c r="N26" s="12">
        <v>25.5</v>
      </c>
      <c r="O26" s="8" t="s">
        <v>21</v>
      </c>
      <c r="P26" s="8">
        <v>399.66</v>
      </c>
      <c r="Q26" s="1">
        <f t="shared" si="2"/>
        <v>10191.33</v>
      </c>
      <c r="S26" s="12">
        <v>17</v>
      </c>
      <c r="T26" s="8" t="s">
        <v>21</v>
      </c>
      <c r="U26" s="8">
        <v>403.6</v>
      </c>
      <c r="V26" s="1">
        <f t="shared" si="3"/>
        <v>6861.200000000001</v>
      </c>
      <c r="X26" s="12">
        <v>23.25</v>
      </c>
      <c r="Y26" s="8" t="s">
        <v>21</v>
      </c>
      <c r="Z26" s="8">
        <v>397.47</v>
      </c>
      <c r="AA26" s="1">
        <f t="shared" si="4"/>
        <v>9241.1775</v>
      </c>
      <c r="AC26" s="12">
        <v>23</v>
      </c>
      <c r="AD26" s="8" t="s">
        <v>21</v>
      </c>
      <c r="AE26" s="8">
        <v>401.13</v>
      </c>
      <c r="AF26" s="1">
        <f t="shared" si="5"/>
        <v>9225.99</v>
      </c>
      <c r="AG26" s="95"/>
      <c r="AH26" s="12">
        <v>10.5</v>
      </c>
      <c r="AI26" s="8" t="s">
        <v>21</v>
      </c>
      <c r="AJ26" s="1">
        <f t="shared" si="8"/>
        <v>45877.5</v>
      </c>
      <c r="AL26" s="42">
        <v>16.35</v>
      </c>
      <c r="AM26" s="8" t="s">
        <v>316</v>
      </c>
      <c r="AN26" s="99">
        <f t="shared" si="9"/>
        <v>451.223241590214</v>
      </c>
      <c r="AO26" s="42">
        <v>7377.5</v>
      </c>
      <c r="AQ26" s="42">
        <v>10</v>
      </c>
      <c r="AR26" s="8" t="s">
        <v>316</v>
      </c>
      <c r="AS26" s="99">
        <f t="shared" si="10"/>
        <v>450</v>
      </c>
      <c r="AT26" s="42">
        <v>4500</v>
      </c>
      <c r="AV26" s="42">
        <v>26.15</v>
      </c>
      <c r="AW26" s="8" t="s">
        <v>316</v>
      </c>
      <c r="AX26" s="99">
        <f t="shared" si="13"/>
        <v>447.35181644359466</v>
      </c>
      <c r="AY26" s="109">
        <v>11698.25</v>
      </c>
      <c r="BA26" s="42">
        <v>24.9</v>
      </c>
      <c r="BB26" s="8" t="s">
        <v>316</v>
      </c>
      <c r="BC26" s="99">
        <f t="shared" si="11"/>
        <v>451.95783132530124</v>
      </c>
      <c r="BD26" s="42">
        <v>11253.75</v>
      </c>
      <c r="BF26" s="42">
        <v>22</v>
      </c>
      <c r="BG26" s="8" t="s">
        <v>316</v>
      </c>
      <c r="BH26" s="99">
        <f t="shared" si="14"/>
        <v>443.54545454545456</v>
      </c>
      <c r="BI26" s="109">
        <v>9758</v>
      </c>
      <c r="BK26" s="42">
        <v>3</v>
      </c>
      <c r="BL26" s="4" t="s">
        <v>313</v>
      </c>
      <c r="BM26" s="99">
        <f t="shared" si="12"/>
        <v>430</v>
      </c>
      <c r="BN26" s="42">
        <v>1290</v>
      </c>
    </row>
    <row r="27" spans="1:66" ht="16.5">
      <c r="A27" s="3" t="s">
        <v>3</v>
      </c>
      <c r="B27" s="4" t="s">
        <v>5</v>
      </c>
      <c r="C27" s="11" t="s">
        <v>62</v>
      </c>
      <c r="D27" s="42">
        <f t="shared" si="6"/>
        <v>45</v>
      </c>
      <c r="E27" s="4" t="s">
        <v>313</v>
      </c>
      <c r="F27" s="99">
        <f t="shared" si="7"/>
        <v>430.1333333333333</v>
      </c>
      <c r="G27" s="109">
        <f t="shared" si="15"/>
        <v>28191</v>
      </c>
      <c r="I27" s="12">
        <v>7.25</v>
      </c>
      <c r="J27" s="4" t="s">
        <v>20</v>
      </c>
      <c r="K27" s="4">
        <v>380</v>
      </c>
      <c r="L27" s="1">
        <f t="shared" si="1"/>
        <v>2755</v>
      </c>
      <c r="N27" s="12">
        <v>5</v>
      </c>
      <c r="O27" s="4" t="s">
        <v>20</v>
      </c>
      <c r="P27" s="4">
        <v>380</v>
      </c>
      <c r="Q27" s="1">
        <f t="shared" si="2"/>
        <v>1900</v>
      </c>
      <c r="S27" s="12">
        <v>2.5</v>
      </c>
      <c r="T27" s="4" t="s">
        <v>20</v>
      </c>
      <c r="U27" s="4">
        <v>380</v>
      </c>
      <c r="V27" s="1">
        <f t="shared" si="3"/>
        <v>950</v>
      </c>
      <c r="X27" s="12">
        <v>3.75</v>
      </c>
      <c r="Y27" s="4" t="s">
        <v>20</v>
      </c>
      <c r="Z27" s="4">
        <v>380</v>
      </c>
      <c r="AA27" s="1">
        <f t="shared" si="4"/>
        <v>1425</v>
      </c>
      <c r="AC27" s="12">
        <v>4.75</v>
      </c>
      <c r="AD27" s="4" t="s">
        <v>20</v>
      </c>
      <c r="AE27" s="4">
        <v>380</v>
      </c>
      <c r="AF27" s="1">
        <f t="shared" si="5"/>
        <v>1805</v>
      </c>
      <c r="AG27" s="95"/>
      <c r="AH27" s="12">
        <v>2.25</v>
      </c>
      <c r="AI27" s="4" t="s">
        <v>20</v>
      </c>
      <c r="AJ27" s="1">
        <f t="shared" si="8"/>
        <v>19356</v>
      </c>
      <c r="AL27" s="42">
        <v>2.5999999999999996</v>
      </c>
      <c r="AM27" s="4" t="s">
        <v>313</v>
      </c>
      <c r="AN27" s="99">
        <f t="shared" si="9"/>
        <v>430.00000000000006</v>
      </c>
      <c r="AO27" s="42">
        <v>1118</v>
      </c>
      <c r="AQ27" s="42">
        <v>1.9</v>
      </c>
      <c r="AR27" s="4" t="s">
        <v>313</v>
      </c>
      <c r="AS27" s="99">
        <f t="shared" si="10"/>
        <v>430</v>
      </c>
      <c r="AT27" s="42">
        <v>817</v>
      </c>
      <c r="AV27" s="42">
        <v>5.3</v>
      </c>
      <c r="AW27" s="4" t="s">
        <v>313</v>
      </c>
      <c r="AX27" s="4">
        <f t="shared" si="13"/>
        <v>430</v>
      </c>
      <c r="AY27" s="109">
        <v>2279</v>
      </c>
      <c r="BA27" s="42">
        <v>7.300000000000001</v>
      </c>
      <c r="BB27" s="4" t="s">
        <v>313</v>
      </c>
      <c r="BC27" s="99">
        <f t="shared" si="11"/>
        <v>429.99999999999994</v>
      </c>
      <c r="BD27" s="42">
        <v>3139</v>
      </c>
      <c r="BF27" s="42">
        <v>3.5</v>
      </c>
      <c r="BG27" s="4" t="s">
        <v>313</v>
      </c>
      <c r="BH27" s="4">
        <f t="shared" si="14"/>
        <v>430</v>
      </c>
      <c r="BI27" s="109">
        <v>1505</v>
      </c>
      <c r="BK27" s="42">
        <v>24.4</v>
      </c>
      <c r="BL27" s="4" t="s">
        <v>313</v>
      </c>
      <c r="BM27" s="99">
        <f t="shared" si="12"/>
        <v>430.2459016393443</v>
      </c>
      <c r="BN27" s="42">
        <v>10498</v>
      </c>
    </row>
    <row r="28" spans="1:66" ht="16.5">
      <c r="A28" s="3" t="s">
        <v>3</v>
      </c>
      <c r="B28" s="4" t="s">
        <v>5</v>
      </c>
      <c r="C28" s="11" t="s">
        <v>81</v>
      </c>
      <c r="D28" s="42">
        <f t="shared" si="6"/>
        <v>236.54999999999998</v>
      </c>
      <c r="E28" s="4" t="s">
        <v>313</v>
      </c>
      <c r="F28" s="99">
        <f t="shared" si="7"/>
        <v>432.0099344747411</v>
      </c>
      <c r="G28" s="109">
        <f t="shared" si="15"/>
        <v>195842.95</v>
      </c>
      <c r="I28" s="12">
        <v>59.7</v>
      </c>
      <c r="J28" s="4" t="s">
        <v>20</v>
      </c>
      <c r="K28" s="4">
        <v>380</v>
      </c>
      <c r="L28" s="1">
        <f t="shared" si="1"/>
        <v>22686</v>
      </c>
      <c r="N28" s="12">
        <v>54</v>
      </c>
      <c r="O28" s="4" t="s">
        <v>20</v>
      </c>
      <c r="P28" s="4">
        <v>380</v>
      </c>
      <c r="Q28" s="1">
        <f t="shared" si="2"/>
        <v>20520</v>
      </c>
      <c r="S28" s="12">
        <v>34.75</v>
      </c>
      <c r="T28" s="4" t="s">
        <v>20</v>
      </c>
      <c r="U28" s="4">
        <v>380</v>
      </c>
      <c r="V28" s="1">
        <f t="shared" si="3"/>
        <v>13205</v>
      </c>
      <c r="X28" s="12">
        <v>47.25</v>
      </c>
      <c r="Y28" s="4" t="s">
        <v>20</v>
      </c>
      <c r="Z28" s="4">
        <v>380</v>
      </c>
      <c r="AA28" s="1">
        <f t="shared" si="4"/>
        <v>17955</v>
      </c>
      <c r="AC28" s="12">
        <v>50.75</v>
      </c>
      <c r="AD28" s="4" t="s">
        <v>20</v>
      </c>
      <c r="AE28" s="4">
        <v>380</v>
      </c>
      <c r="AF28" s="1">
        <f t="shared" si="5"/>
        <v>19285</v>
      </c>
      <c r="AG28" s="95"/>
      <c r="AH28" s="12">
        <v>18</v>
      </c>
      <c r="AI28" s="4" t="s">
        <v>20</v>
      </c>
      <c r="AJ28" s="1">
        <f t="shared" si="8"/>
        <v>102191.95</v>
      </c>
      <c r="AL28" s="42">
        <v>35</v>
      </c>
      <c r="AM28" s="4" t="s">
        <v>313</v>
      </c>
      <c r="AN28" s="99">
        <f t="shared" si="9"/>
        <v>430</v>
      </c>
      <c r="AO28" s="42">
        <v>15050</v>
      </c>
      <c r="AQ28" s="42">
        <v>17.75</v>
      </c>
      <c r="AR28" s="4" t="s">
        <v>313</v>
      </c>
      <c r="AS28" s="99">
        <f t="shared" si="10"/>
        <v>431.2676056338028</v>
      </c>
      <c r="AT28" s="42">
        <v>7655</v>
      </c>
      <c r="AV28" s="42">
        <v>54</v>
      </c>
      <c r="AW28" s="4" t="s">
        <v>313</v>
      </c>
      <c r="AX28" s="4">
        <f t="shared" si="13"/>
        <v>430</v>
      </c>
      <c r="AY28" s="109">
        <v>23220</v>
      </c>
      <c r="BA28" s="42">
        <v>59.7</v>
      </c>
      <c r="BB28" s="4" t="s">
        <v>313</v>
      </c>
      <c r="BC28" s="99">
        <f t="shared" si="11"/>
        <v>430</v>
      </c>
      <c r="BD28" s="42">
        <v>25671</v>
      </c>
      <c r="BF28" s="42">
        <v>47.25</v>
      </c>
      <c r="BG28" s="4" t="s">
        <v>313</v>
      </c>
      <c r="BH28" s="4">
        <f t="shared" si="14"/>
        <v>430</v>
      </c>
      <c r="BI28" s="109">
        <v>20317.5</v>
      </c>
      <c r="BK28" s="42">
        <v>22.85</v>
      </c>
      <c r="BL28" s="8" t="s">
        <v>316</v>
      </c>
      <c r="BM28" s="99">
        <f t="shared" si="12"/>
        <v>449.82275711159735</v>
      </c>
      <c r="BN28" s="42">
        <v>10278.45</v>
      </c>
    </row>
    <row r="29" spans="1:66" ht="16.5">
      <c r="A29" s="3" t="s">
        <v>3</v>
      </c>
      <c r="B29" s="4" t="s">
        <v>5</v>
      </c>
      <c r="C29" s="11" t="s">
        <v>93</v>
      </c>
      <c r="D29" s="42">
        <f t="shared" si="6"/>
        <v>153.92499999999998</v>
      </c>
      <c r="E29" s="4" t="s">
        <v>313</v>
      </c>
      <c r="F29" s="99">
        <f t="shared" si="7"/>
        <v>433.9645931460127</v>
      </c>
      <c r="G29" s="109">
        <f t="shared" si="15"/>
        <v>132442.22305</v>
      </c>
      <c r="I29" s="12">
        <v>37.85</v>
      </c>
      <c r="J29" s="4" t="s">
        <v>20</v>
      </c>
      <c r="K29" s="4">
        <v>385.053</v>
      </c>
      <c r="L29" s="1">
        <f t="shared" si="1"/>
        <v>14574.25605</v>
      </c>
      <c r="N29" s="12">
        <v>30.05</v>
      </c>
      <c r="O29" s="4" t="s">
        <v>20</v>
      </c>
      <c r="P29" s="4">
        <v>386.62</v>
      </c>
      <c r="Q29" s="1">
        <f t="shared" si="2"/>
        <v>11617.931</v>
      </c>
      <c r="S29" s="12">
        <v>29.45</v>
      </c>
      <c r="T29" s="4" t="s">
        <v>20</v>
      </c>
      <c r="U29" s="4">
        <v>383.44</v>
      </c>
      <c r="V29" s="1">
        <f t="shared" si="3"/>
        <v>11292.307999999999</v>
      </c>
      <c r="X29" s="12">
        <v>36.35</v>
      </c>
      <c r="Y29" s="4" t="s">
        <v>20</v>
      </c>
      <c r="Z29" s="4">
        <v>382.61</v>
      </c>
      <c r="AA29" s="1">
        <f t="shared" si="4"/>
        <v>13907.873500000002</v>
      </c>
      <c r="AC29" s="12">
        <v>37.15</v>
      </c>
      <c r="AD29" s="4" t="s">
        <v>20</v>
      </c>
      <c r="AE29" s="4">
        <v>383.63</v>
      </c>
      <c r="AF29" s="1">
        <f t="shared" si="5"/>
        <v>14251.8545</v>
      </c>
      <c r="AG29" s="95"/>
      <c r="AH29" s="12">
        <v>15.05</v>
      </c>
      <c r="AI29" s="4" t="s">
        <v>20</v>
      </c>
      <c r="AJ29" s="1">
        <f t="shared" si="8"/>
        <v>66798</v>
      </c>
      <c r="AL29" s="42">
        <v>30.624999999999996</v>
      </c>
      <c r="AM29" s="4" t="s">
        <v>313</v>
      </c>
      <c r="AN29" s="99">
        <f t="shared" si="9"/>
        <v>433.30612244897964</v>
      </c>
      <c r="AO29" s="42">
        <v>13270</v>
      </c>
      <c r="AQ29" s="42">
        <v>14.100000000000001</v>
      </c>
      <c r="AR29" s="4" t="s">
        <v>313</v>
      </c>
      <c r="AS29" s="99">
        <f t="shared" si="10"/>
        <v>431.77304964539</v>
      </c>
      <c r="AT29" s="42">
        <v>6088</v>
      </c>
      <c r="AV29" s="42">
        <v>29.5</v>
      </c>
      <c r="AW29" s="4" t="s">
        <v>313</v>
      </c>
      <c r="AX29" s="99">
        <f t="shared" si="13"/>
        <v>436.66101694915255</v>
      </c>
      <c r="AY29" s="109">
        <v>12881.5</v>
      </c>
      <c r="BA29" s="42">
        <v>37.849999999999994</v>
      </c>
      <c r="BB29" s="4" t="s">
        <v>313</v>
      </c>
      <c r="BC29" s="99">
        <f t="shared" si="11"/>
        <v>434.6895640686923</v>
      </c>
      <c r="BD29" s="42">
        <v>16453</v>
      </c>
      <c r="BF29" s="42">
        <v>36.75</v>
      </c>
      <c r="BG29" s="4" t="s">
        <v>313</v>
      </c>
      <c r="BH29" s="99">
        <f t="shared" si="14"/>
        <v>432.99319727891157</v>
      </c>
      <c r="BI29" s="109">
        <v>15912.5</v>
      </c>
      <c r="BK29" s="42">
        <v>5.1000000000000005</v>
      </c>
      <c r="BL29" s="4" t="s">
        <v>313</v>
      </c>
      <c r="BM29" s="99">
        <f t="shared" si="12"/>
        <v>429.99999999999994</v>
      </c>
      <c r="BN29" s="42">
        <v>2193</v>
      </c>
    </row>
    <row r="30" spans="1:66" s="9" customFormat="1" ht="33">
      <c r="A30" s="4" t="s">
        <v>50</v>
      </c>
      <c r="B30" s="4" t="s">
        <v>10</v>
      </c>
      <c r="C30" s="11" t="s">
        <v>101</v>
      </c>
      <c r="D30" s="42">
        <f t="shared" si="6"/>
        <v>152.192</v>
      </c>
      <c r="E30" s="8" t="s">
        <v>315</v>
      </c>
      <c r="F30" s="99">
        <f t="shared" si="7"/>
        <v>485.6548307401177</v>
      </c>
      <c r="G30" s="109">
        <f t="shared" si="15"/>
        <v>128694.0097</v>
      </c>
      <c r="H30" s="61"/>
      <c r="I30" s="12">
        <v>28.55</v>
      </c>
      <c r="J30" s="8" t="s">
        <v>23</v>
      </c>
      <c r="K30" s="8">
        <v>456.574</v>
      </c>
      <c r="L30" s="1">
        <f t="shared" si="1"/>
        <v>13035.1877</v>
      </c>
      <c r="M30" s="61"/>
      <c r="N30" s="12">
        <v>26.235</v>
      </c>
      <c r="O30" s="8" t="s">
        <v>23</v>
      </c>
      <c r="P30" s="8">
        <v>462.48</v>
      </c>
      <c r="Q30" s="1">
        <f t="shared" si="2"/>
        <v>12133.1628</v>
      </c>
      <c r="R30" s="61"/>
      <c r="S30" s="12">
        <v>17.33</v>
      </c>
      <c r="T30" s="8" t="s">
        <v>23</v>
      </c>
      <c r="U30" s="8">
        <v>457.34</v>
      </c>
      <c r="V30" s="1">
        <f t="shared" si="3"/>
        <v>7925.702199999999</v>
      </c>
      <c r="W30" s="61"/>
      <c r="X30" s="12">
        <v>22.2</v>
      </c>
      <c r="Y30" s="8" t="s">
        <v>23</v>
      </c>
      <c r="Z30" s="8">
        <v>454.66</v>
      </c>
      <c r="AA30" s="1">
        <f t="shared" si="4"/>
        <v>10093.452000000001</v>
      </c>
      <c r="AB30" s="61"/>
      <c r="AC30" s="12">
        <v>25.3</v>
      </c>
      <c r="AD30" s="8" t="s">
        <v>23</v>
      </c>
      <c r="AE30" s="8">
        <v>458.25</v>
      </c>
      <c r="AF30" s="1">
        <f t="shared" si="5"/>
        <v>11593.725</v>
      </c>
      <c r="AG30" s="95"/>
      <c r="AH30" s="12">
        <v>9.05</v>
      </c>
      <c r="AI30" s="8" t="s">
        <v>23</v>
      </c>
      <c r="AJ30" s="1">
        <f t="shared" si="8"/>
        <v>73912.78</v>
      </c>
      <c r="AK30" s="61"/>
      <c r="AL30" s="42">
        <v>17</v>
      </c>
      <c r="AM30" s="8" t="s">
        <v>315</v>
      </c>
      <c r="AN30" s="99">
        <f t="shared" si="9"/>
        <v>514.9705882352941</v>
      </c>
      <c r="AO30" s="42">
        <v>8754.5</v>
      </c>
      <c r="AP30" s="97"/>
      <c r="AQ30" s="42">
        <v>8.562000000000001</v>
      </c>
      <c r="AR30" s="8" t="s">
        <v>315</v>
      </c>
      <c r="AS30" s="99">
        <f t="shared" si="10"/>
        <v>519.3751459939266</v>
      </c>
      <c r="AT30" s="42">
        <v>4446.89</v>
      </c>
      <c r="AU30" s="97"/>
      <c r="AV30" s="42">
        <v>25.9</v>
      </c>
      <c r="AW30" s="8" t="s">
        <v>315</v>
      </c>
      <c r="AX30" s="96">
        <f t="shared" si="13"/>
        <v>517.918918918919</v>
      </c>
      <c r="AY30" s="109">
        <v>13414.1</v>
      </c>
      <c r="AZ30" s="97"/>
      <c r="BA30" s="42">
        <v>28.799999999999997</v>
      </c>
      <c r="BB30" s="8" t="s">
        <v>315</v>
      </c>
      <c r="BC30" s="99">
        <f t="shared" si="11"/>
        <v>506.18750000000006</v>
      </c>
      <c r="BD30" s="42">
        <v>14578.2</v>
      </c>
      <c r="BE30" s="97"/>
      <c r="BF30" s="42">
        <v>21.73</v>
      </c>
      <c r="BG30" s="8" t="s">
        <v>315</v>
      </c>
      <c r="BH30" s="96">
        <f t="shared" si="14"/>
        <v>512.3373216751036</v>
      </c>
      <c r="BI30" s="109">
        <v>11133.09</v>
      </c>
      <c r="BJ30" s="97"/>
      <c r="BK30" s="42">
        <v>50.2</v>
      </c>
      <c r="BL30" s="4" t="s">
        <v>313</v>
      </c>
      <c r="BM30" s="99">
        <f t="shared" si="12"/>
        <v>430</v>
      </c>
      <c r="BN30" s="42">
        <v>21586</v>
      </c>
    </row>
    <row r="31" spans="1:66" ht="16.5">
      <c r="A31" s="4" t="s">
        <v>67</v>
      </c>
      <c r="B31" s="4" t="s">
        <v>5</v>
      </c>
      <c r="C31" s="11" t="s">
        <v>83</v>
      </c>
      <c r="D31" s="42">
        <f t="shared" si="6"/>
        <v>1158.1000000000001</v>
      </c>
      <c r="E31" s="8" t="s">
        <v>316</v>
      </c>
      <c r="F31" s="99">
        <f t="shared" si="7"/>
        <v>501.5460668336067</v>
      </c>
      <c r="G31" s="109">
        <f t="shared" si="15"/>
        <v>1152811.619</v>
      </c>
      <c r="I31" s="12">
        <v>306</v>
      </c>
      <c r="J31" s="8" t="s">
        <v>21</v>
      </c>
      <c r="K31" s="8">
        <v>453.559</v>
      </c>
      <c r="L31" s="1">
        <f t="shared" si="1"/>
        <v>138789.054</v>
      </c>
      <c r="N31" s="12">
        <v>276.5</v>
      </c>
      <c r="O31" s="8" t="s">
        <v>21</v>
      </c>
      <c r="P31" s="8">
        <v>454</v>
      </c>
      <c r="Q31" s="1">
        <f t="shared" si="2"/>
        <v>125531</v>
      </c>
      <c r="S31" s="12">
        <v>183.5</v>
      </c>
      <c r="T31" s="8" t="s">
        <v>21</v>
      </c>
      <c r="U31" s="8">
        <v>453.56</v>
      </c>
      <c r="V31" s="1">
        <f t="shared" si="3"/>
        <v>83228.26</v>
      </c>
      <c r="X31" s="12">
        <v>236.5</v>
      </c>
      <c r="Y31" s="8" t="s">
        <v>21</v>
      </c>
      <c r="Z31" s="8">
        <v>453.89</v>
      </c>
      <c r="AA31" s="1">
        <f t="shared" si="4"/>
        <v>107344.985</v>
      </c>
      <c r="AC31" s="12">
        <v>258</v>
      </c>
      <c r="AD31" s="8" t="s">
        <v>21</v>
      </c>
      <c r="AE31" s="8">
        <v>453.79</v>
      </c>
      <c r="AF31" s="1">
        <f t="shared" si="5"/>
        <v>117077.82</v>
      </c>
      <c r="AG31" s="95"/>
      <c r="AH31" s="12">
        <v>88.25</v>
      </c>
      <c r="AI31" s="8" t="s">
        <v>21</v>
      </c>
      <c r="AJ31" s="1">
        <f t="shared" si="8"/>
        <v>580840.5</v>
      </c>
      <c r="AL31" s="42">
        <v>186</v>
      </c>
      <c r="AM31" s="8" t="s">
        <v>316</v>
      </c>
      <c r="AN31" s="99">
        <f t="shared" si="9"/>
        <v>504</v>
      </c>
      <c r="AO31" s="42">
        <v>93744</v>
      </c>
      <c r="AQ31" s="42">
        <v>90</v>
      </c>
      <c r="AR31" s="8" t="s">
        <v>316</v>
      </c>
      <c r="AS31" s="99">
        <f t="shared" si="10"/>
        <v>503.7</v>
      </c>
      <c r="AT31" s="42">
        <v>45333</v>
      </c>
      <c r="AV31" s="42">
        <v>280.15</v>
      </c>
      <c r="AW31" s="8" t="s">
        <v>316</v>
      </c>
      <c r="AX31" s="99">
        <f t="shared" si="13"/>
        <v>503.63376762448695</v>
      </c>
      <c r="AY31" s="109">
        <v>141093</v>
      </c>
      <c r="BA31" s="42">
        <v>322</v>
      </c>
      <c r="BB31" s="8" t="s">
        <v>316</v>
      </c>
      <c r="BC31" s="99">
        <f t="shared" si="11"/>
        <v>503.74844720496895</v>
      </c>
      <c r="BD31" s="42">
        <v>162207</v>
      </c>
      <c r="BF31" s="42">
        <v>242.75</v>
      </c>
      <c r="BG31" s="8" t="s">
        <v>316</v>
      </c>
      <c r="BH31" s="99">
        <f t="shared" si="14"/>
        <v>503.94438722966015</v>
      </c>
      <c r="BI31" s="109">
        <v>122332.5</v>
      </c>
      <c r="BK31" s="42">
        <v>37.2</v>
      </c>
      <c r="BL31" s="4" t="s">
        <v>313</v>
      </c>
      <c r="BM31" s="99">
        <f t="shared" si="12"/>
        <v>433.62903225806446</v>
      </c>
      <c r="BN31" s="42">
        <v>16131</v>
      </c>
    </row>
    <row r="32" spans="1:66" ht="33">
      <c r="A32" s="4" t="s">
        <v>8</v>
      </c>
      <c r="B32" s="4" t="s">
        <v>5</v>
      </c>
      <c r="C32" s="11" t="s">
        <v>98</v>
      </c>
      <c r="D32" s="42">
        <f t="shared" si="6"/>
        <v>30.6</v>
      </c>
      <c r="E32" s="8" t="s">
        <v>316</v>
      </c>
      <c r="F32" s="99">
        <f t="shared" si="7"/>
        <v>500.1111111111111</v>
      </c>
      <c r="G32" s="109">
        <f t="shared" si="15"/>
        <v>17583.4</v>
      </c>
      <c r="I32" s="12">
        <v>1</v>
      </c>
      <c r="J32" s="8" t="s">
        <v>21</v>
      </c>
      <c r="K32" s="8">
        <v>380</v>
      </c>
      <c r="L32" s="1">
        <f t="shared" si="1"/>
        <v>380</v>
      </c>
      <c r="N32" s="12">
        <v>2</v>
      </c>
      <c r="O32" s="8" t="s">
        <v>21</v>
      </c>
      <c r="P32" s="8">
        <v>380</v>
      </c>
      <c r="Q32" s="1">
        <f t="shared" si="2"/>
        <v>760</v>
      </c>
      <c r="S32" s="12">
        <v>2</v>
      </c>
      <c r="T32" s="8" t="s">
        <v>21</v>
      </c>
      <c r="U32" s="8">
        <v>380</v>
      </c>
      <c r="V32" s="1">
        <f t="shared" si="3"/>
        <v>760</v>
      </c>
      <c r="X32" s="12">
        <v>1</v>
      </c>
      <c r="Y32" s="8" t="s">
        <v>21</v>
      </c>
      <c r="Z32" s="8">
        <v>380</v>
      </c>
      <c r="AA32" s="1">
        <f t="shared" si="4"/>
        <v>380</v>
      </c>
      <c r="AC32" s="12"/>
      <c r="AD32" s="8" t="s">
        <v>21</v>
      </c>
      <c r="AE32" s="8"/>
      <c r="AF32" s="1">
        <f t="shared" si="5"/>
        <v>0</v>
      </c>
      <c r="AG32" s="95"/>
      <c r="AH32" s="12"/>
      <c r="AI32" s="8" t="s">
        <v>21</v>
      </c>
      <c r="AJ32" s="1">
        <f t="shared" si="8"/>
        <v>15303.4</v>
      </c>
      <c r="AL32" s="42">
        <v>0</v>
      </c>
      <c r="AM32" s="8" t="s">
        <v>316</v>
      </c>
      <c r="AN32" s="99" t="e">
        <f t="shared" si="9"/>
        <v>#DIV/0!</v>
      </c>
      <c r="AO32" s="42">
        <v>0</v>
      </c>
      <c r="AQ32" s="42">
        <v>0.5</v>
      </c>
      <c r="AR32" s="8" t="s">
        <v>316</v>
      </c>
      <c r="AS32" s="99">
        <f t="shared" si="10"/>
        <v>430</v>
      </c>
      <c r="AT32" s="42">
        <v>215</v>
      </c>
      <c r="AV32" s="42">
        <v>4</v>
      </c>
      <c r="AW32" s="8" t="s">
        <v>316</v>
      </c>
      <c r="AX32" s="4">
        <f t="shared" si="13"/>
        <v>430</v>
      </c>
      <c r="AY32" s="109">
        <v>1720</v>
      </c>
      <c r="BA32" s="42"/>
      <c r="BB32" s="8" t="s">
        <v>316</v>
      </c>
      <c r="BC32" s="99" t="e">
        <f t="shared" si="11"/>
        <v>#DIV/0!</v>
      </c>
      <c r="BD32" s="42">
        <v>0</v>
      </c>
      <c r="BF32" s="42">
        <v>1</v>
      </c>
      <c r="BG32" s="8" t="s">
        <v>316</v>
      </c>
      <c r="BH32" s="4">
        <f t="shared" si="14"/>
        <v>430</v>
      </c>
      <c r="BI32" s="109">
        <v>430</v>
      </c>
      <c r="BK32" s="42">
        <v>25.1</v>
      </c>
      <c r="BL32" s="8" t="s">
        <v>315</v>
      </c>
      <c r="BM32" s="99">
        <f t="shared" si="12"/>
        <v>515.4741035856573</v>
      </c>
      <c r="BN32" s="42">
        <v>12938.4</v>
      </c>
    </row>
    <row r="33" spans="1:66" ht="16.5">
      <c r="A33" s="4" t="s">
        <v>8</v>
      </c>
      <c r="B33" s="4" t="s">
        <v>5</v>
      </c>
      <c r="C33" s="11" t="s">
        <v>15</v>
      </c>
      <c r="D33" s="42">
        <f t="shared" si="6"/>
        <v>275.3</v>
      </c>
      <c r="E33" s="8" t="s">
        <v>316</v>
      </c>
      <c r="F33" s="99">
        <f t="shared" si="7"/>
        <v>501.08245550308754</v>
      </c>
      <c r="G33" s="109">
        <f t="shared" si="15"/>
        <v>139924</v>
      </c>
      <c r="I33" s="12"/>
      <c r="J33" s="8" t="s">
        <v>21</v>
      </c>
      <c r="K33" s="8"/>
      <c r="L33" s="1">
        <f t="shared" si="1"/>
        <v>0</v>
      </c>
      <c r="N33" s="12">
        <v>5.2</v>
      </c>
      <c r="O33" s="8" t="s">
        <v>21</v>
      </c>
      <c r="P33" s="8">
        <v>380</v>
      </c>
      <c r="Q33" s="1">
        <f t="shared" si="2"/>
        <v>1976</v>
      </c>
      <c r="S33" s="12"/>
      <c r="T33" s="8" t="s">
        <v>21</v>
      </c>
      <c r="U33" s="8"/>
      <c r="V33" s="1">
        <f t="shared" si="3"/>
        <v>0</v>
      </c>
      <c r="X33" s="12"/>
      <c r="Y33" s="8" t="s">
        <v>21</v>
      </c>
      <c r="Z33" s="8"/>
      <c r="AA33" s="1">
        <f t="shared" si="4"/>
        <v>0</v>
      </c>
      <c r="AC33" s="12"/>
      <c r="AD33" s="8" t="s">
        <v>21</v>
      </c>
      <c r="AE33" s="8"/>
      <c r="AF33" s="1">
        <f t="shared" si="5"/>
        <v>0</v>
      </c>
      <c r="AG33" s="95"/>
      <c r="AH33" s="12">
        <v>14.3</v>
      </c>
      <c r="AI33" s="8" t="s">
        <v>21</v>
      </c>
      <c r="AJ33" s="1">
        <f t="shared" si="8"/>
        <v>137948</v>
      </c>
      <c r="AL33" s="42">
        <v>0</v>
      </c>
      <c r="AM33" s="8" t="s">
        <v>316</v>
      </c>
      <c r="AN33" s="99" t="e">
        <f t="shared" si="9"/>
        <v>#DIV/0!</v>
      </c>
      <c r="AO33" s="42">
        <v>0</v>
      </c>
      <c r="AQ33" s="42">
        <v>6.75</v>
      </c>
      <c r="AR33" s="8" t="s">
        <v>316</v>
      </c>
      <c r="AS33" s="99">
        <f t="shared" si="10"/>
        <v>430</v>
      </c>
      <c r="AT33" s="42">
        <v>2902.5</v>
      </c>
      <c r="AV33" s="42">
        <v>1.55</v>
      </c>
      <c r="AW33" s="8" t="s">
        <v>316</v>
      </c>
      <c r="AX33" s="4">
        <f t="shared" si="13"/>
        <v>430</v>
      </c>
      <c r="AY33" s="109">
        <v>666.5</v>
      </c>
      <c r="BA33" s="42"/>
      <c r="BB33" s="8" t="s">
        <v>316</v>
      </c>
      <c r="BC33" s="99" t="e">
        <f t="shared" si="11"/>
        <v>#DIV/0!</v>
      </c>
      <c r="BD33" s="42">
        <v>0</v>
      </c>
      <c r="BF33" s="42"/>
      <c r="BG33" s="8" t="s">
        <v>316</v>
      </c>
      <c r="BH33" s="4" t="e">
        <f t="shared" si="14"/>
        <v>#DIV/0!</v>
      </c>
      <c r="BI33" s="109"/>
      <c r="BK33" s="42">
        <v>267</v>
      </c>
      <c r="BL33" s="8" t="s">
        <v>316</v>
      </c>
      <c r="BM33" s="99">
        <f t="shared" si="12"/>
        <v>503.29213483146066</v>
      </c>
      <c r="BN33" s="42">
        <v>134379</v>
      </c>
    </row>
    <row r="34" spans="4:66" ht="16.5" customHeight="1" hidden="1">
      <c r="D34" s="111">
        <f>SUM(D24:D33)</f>
        <v>2280.217</v>
      </c>
      <c r="E34" s="66">
        <f>SUM(E24:E33)</f>
        <v>0</v>
      </c>
      <c r="F34" s="4">
        <f>G34/D34</f>
        <v>870.7835150119483</v>
      </c>
      <c r="G34" s="66">
        <f>SUM(G24:G33)</f>
        <v>1985575.3742499999</v>
      </c>
      <c r="I34" s="100">
        <f>SUM(I24:I33)</f>
        <v>490.6</v>
      </c>
      <c r="J34" s="100">
        <f>SUM(J24:J33)</f>
        <v>0</v>
      </c>
      <c r="K34" s="100">
        <f>SUM(K24:K33)</f>
        <v>3216.9860000000003</v>
      </c>
      <c r="L34" s="100">
        <f>SUM(L24:L33)</f>
        <v>211859.49774999998</v>
      </c>
      <c r="N34">
        <f>SUM(N24:N33)</f>
        <v>449.485</v>
      </c>
      <c r="O34">
        <f>SUM(O24:O33)</f>
        <v>0</v>
      </c>
      <c r="P34">
        <f>SUM(P24:P33)</f>
        <v>3602.76</v>
      </c>
      <c r="Q34">
        <f>SUM(Q24:Q33)</f>
        <v>194129.4238</v>
      </c>
      <c r="S34">
        <f>SUM(S24:S33)</f>
        <v>301.53</v>
      </c>
      <c r="T34">
        <f>SUM(T24:T33)</f>
        <v>0</v>
      </c>
      <c r="U34">
        <f>SUM(U24:U33)</f>
        <v>3218.94</v>
      </c>
      <c r="V34">
        <f>SUM(V24:V33)</f>
        <v>129937.4702</v>
      </c>
      <c r="X34">
        <f>SUM(X24:X33)</f>
        <v>389.79999999999995</v>
      </c>
      <c r="Y34">
        <f>SUM(Y24:Y33)</f>
        <v>0</v>
      </c>
      <c r="Z34">
        <f>SUM(Z24:Z33)</f>
        <v>3208.6299999999997</v>
      </c>
      <c r="AA34">
        <f>SUM(AA24:AA33)</f>
        <v>167757.488</v>
      </c>
      <c r="AC34">
        <f>SUM(AC24:AC33)</f>
        <v>425.85</v>
      </c>
      <c r="AD34">
        <f>SUM(AD24:AD33)</f>
        <v>0</v>
      </c>
      <c r="AE34">
        <f>SUM(AE24:AE33)</f>
        <v>3217.05</v>
      </c>
      <c r="AF34">
        <f>SUM(AF24:AF33)</f>
        <v>183467.36450000003</v>
      </c>
      <c r="AH34">
        <f>SUM(AH24:AH33)</f>
        <v>166.65</v>
      </c>
      <c r="AI34">
        <f>SUM(AI24:AI33)</f>
        <v>0</v>
      </c>
      <c r="AJ34" s="1">
        <f t="shared" si="8"/>
        <v>873778.7799999999</v>
      </c>
      <c r="AL34" s="111">
        <f>SUM(AL24:AL33)</f>
        <v>302.575</v>
      </c>
      <c r="AM34" s="66">
        <f>SUM(AM24:AM33)</f>
        <v>0</v>
      </c>
      <c r="AN34" s="4">
        <f>AO34/AL34</f>
        <v>481.79459638106255</v>
      </c>
      <c r="AO34" s="66">
        <f>SUM(AO24:AO33)</f>
        <v>145779</v>
      </c>
      <c r="AQ34" s="111">
        <f>SUM(AQ24:AQ33)</f>
        <v>158.712</v>
      </c>
      <c r="AR34" s="66">
        <f>SUM(AR24:AR33)</f>
        <v>0</v>
      </c>
      <c r="AS34" s="4">
        <f>AT34/AQ34</f>
        <v>478.31537627904635</v>
      </c>
      <c r="AT34" s="66">
        <f>SUM(AT24:AT33)</f>
        <v>75914.39</v>
      </c>
      <c r="AV34" s="111">
        <f>SUM(AV24:AV33)</f>
        <v>451.3</v>
      </c>
      <c r="AW34" s="66">
        <f>SUM(AW24:AW33)</f>
        <v>0</v>
      </c>
      <c r="AX34" s="4">
        <f t="shared" si="13"/>
        <v>482.19554619986707</v>
      </c>
      <c r="AY34" s="66">
        <f>SUM(AY24:AY33)</f>
        <v>217614.85</v>
      </c>
      <c r="BA34" s="111">
        <f>SUM(BA24:BA33)</f>
        <v>506.05</v>
      </c>
      <c r="BB34" s="66">
        <f>SUM(BB24:BB33)</f>
        <v>0</v>
      </c>
      <c r="BC34" s="4">
        <f>BD34/BA34</f>
        <v>482.6933109376544</v>
      </c>
      <c r="BD34" s="66">
        <f>SUM(BD24:BD33)</f>
        <v>244266.95</v>
      </c>
      <c r="BF34" s="111">
        <f>SUM(BF24:BF33)</f>
        <v>394.48</v>
      </c>
      <c r="BG34" s="66">
        <f>SUM(BG24:BG33)</f>
        <v>0</v>
      </c>
      <c r="BH34" s="4">
        <f t="shared" si="14"/>
        <v>481.07277935510035</v>
      </c>
      <c r="BI34" s="66">
        <f>SUM(BI24:BI33)</f>
        <v>189773.59</v>
      </c>
      <c r="BK34" s="42">
        <v>1</v>
      </c>
      <c r="BL34" s="8" t="s">
        <v>316</v>
      </c>
      <c r="BM34" s="4">
        <v>430</v>
      </c>
      <c r="BN34" s="42">
        <v>430</v>
      </c>
    </row>
    <row r="35" spans="36:66" ht="15" customHeight="1" hidden="1">
      <c r="AJ35" s="1">
        <f t="shared" si="8"/>
        <v>0</v>
      </c>
      <c r="BK35" s="42"/>
      <c r="BL35" s="8" t="s">
        <v>316</v>
      </c>
      <c r="BM35" s="4" t="e">
        <f>BN35/BK35</f>
        <v>#DIV/0!</v>
      </c>
      <c r="BN35" s="109"/>
    </row>
    <row r="36" spans="4:66" ht="15" customHeight="1" hidden="1">
      <c r="D36" s="9">
        <v>3269.96</v>
      </c>
      <c r="G36">
        <v>1419744.68</v>
      </c>
      <c r="AJ36" s="1">
        <f t="shared" si="8"/>
        <v>7308447.249999999</v>
      </c>
      <c r="AL36" s="9">
        <v>3269.96</v>
      </c>
      <c r="AO36">
        <v>1419744.68</v>
      </c>
      <c r="AQ36" s="9">
        <v>3269.96</v>
      </c>
      <c r="AT36">
        <v>1419744.68</v>
      </c>
      <c r="AV36" s="9">
        <v>3269.96</v>
      </c>
      <c r="AY36">
        <v>1419744.68</v>
      </c>
      <c r="BA36" s="9">
        <v>3269.96</v>
      </c>
      <c r="BD36">
        <v>1419744.68</v>
      </c>
      <c r="BF36" s="9">
        <v>3269.96</v>
      </c>
      <c r="BI36">
        <v>1419744.68</v>
      </c>
      <c r="BK36" s="111">
        <f>SUM(BK26:BK35)</f>
        <v>435.85</v>
      </c>
      <c r="BL36" s="66">
        <f>SUM(BL26:BL35)</f>
        <v>0</v>
      </c>
      <c r="BM36" s="4">
        <f>BN36/BK36</f>
        <v>481.1835493862567</v>
      </c>
      <c r="BN36" s="66">
        <f>SUM(BN26:BN35)</f>
        <v>209723.84999999998</v>
      </c>
    </row>
    <row r="37" ht="15" customHeight="1" hidden="1">
      <c r="AJ37" s="1">
        <f t="shared" si="8"/>
        <v>0</v>
      </c>
    </row>
    <row r="38" spans="4:66" ht="15" customHeight="1" hidden="1">
      <c r="D38" s="9">
        <f>D34-D36</f>
        <v>-989.7429999999999</v>
      </c>
      <c r="E38">
        <f>E34-E36</f>
        <v>0</v>
      </c>
      <c r="F38">
        <f>F34-F36</f>
        <v>870.7835150119483</v>
      </c>
      <c r="G38">
        <f>G34-G36</f>
        <v>565830.69425</v>
      </c>
      <c r="AJ38" s="1">
        <f t="shared" si="8"/>
        <v>-4805629.9399999995</v>
      </c>
      <c r="AL38" s="9">
        <f>AL34-AL36</f>
        <v>-2967.385</v>
      </c>
      <c r="AM38">
        <f>AM34-AM36</f>
        <v>0</v>
      </c>
      <c r="AN38">
        <f>AN34-AN36</f>
        <v>481.79459638106255</v>
      </c>
      <c r="AO38">
        <f>AO34-AO36</f>
        <v>-1273965.68</v>
      </c>
      <c r="AQ38" s="9">
        <f>AQ34-AQ36</f>
        <v>-3111.248</v>
      </c>
      <c r="AR38">
        <f>AR34-AR36</f>
        <v>0</v>
      </c>
      <c r="AS38">
        <f>AS34-AS36</f>
        <v>478.31537627904635</v>
      </c>
      <c r="AT38">
        <f>AT34-AT36</f>
        <v>-1343830.29</v>
      </c>
      <c r="AV38" s="9">
        <f>AV34-AV36</f>
        <v>-2818.66</v>
      </c>
      <c r="AW38">
        <f>AW34-AW36</f>
        <v>0</v>
      </c>
      <c r="AX38">
        <f>AX34-AX36</f>
        <v>482.19554619986707</v>
      </c>
      <c r="AY38">
        <f>AY34-AY36</f>
        <v>-1202129.8299999998</v>
      </c>
      <c r="BA38" s="9">
        <f>BA34-BA36</f>
        <v>-2763.91</v>
      </c>
      <c r="BB38">
        <f>BB34-BB36</f>
        <v>0</v>
      </c>
      <c r="BC38">
        <f>BC34-BC36</f>
        <v>482.6933109376544</v>
      </c>
      <c r="BD38">
        <f>BD34-BD36</f>
        <v>-1175477.73</v>
      </c>
      <c r="BF38" s="9">
        <f>BF34-BF36</f>
        <v>-2875.48</v>
      </c>
      <c r="BG38">
        <f>BG34-BG36</f>
        <v>0</v>
      </c>
      <c r="BH38">
        <f>BH34-BH36</f>
        <v>481.07277935510035</v>
      </c>
      <c r="BI38">
        <f>BI34-BI36</f>
        <v>-1229971.0899999999</v>
      </c>
      <c r="BK38" s="9">
        <v>3269.96</v>
      </c>
      <c r="BN38">
        <v>1419744.68</v>
      </c>
    </row>
    <row r="39" ht="15" customHeight="1" hidden="1">
      <c r="AJ39" s="1">
        <f t="shared" si="8"/>
        <v>0</v>
      </c>
    </row>
    <row r="40" spans="4:66" ht="15" hidden="1">
      <c r="D40" s="9">
        <f>SUM(D6:D33)</f>
        <v>3570.842</v>
      </c>
      <c r="E40" s="9">
        <f aca="true" t="shared" si="16" ref="E40:AK40">SUM(E6:E33)</f>
        <v>0</v>
      </c>
      <c r="F40" s="9">
        <f>AJ40/D40</f>
        <v>485.3347795841989</v>
      </c>
      <c r="G40" s="9">
        <f t="shared" si="16"/>
        <v>3152638.24964</v>
      </c>
      <c r="H40" s="9">
        <f t="shared" si="16"/>
        <v>0</v>
      </c>
      <c r="I40" s="9">
        <f t="shared" si="16"/>
        <v>767.47</v>
      </c>
      <c r="J40" s="9">
        <f t="shared" si="16"/>
        <v>0</v>
      </c>
      <c r="K40" s="9">
        <f t="shared" si="16"/>
        <v>6011.5</v>
      </c>
      <c r="L40" s="9">
        <f t="shared" si="16"/>
        <v>334767.29939</v>
      </c>
      <c r="M40" s="9">
        <f t="shared" si="16"/>
        <v>0</v>
      </c>
      <c r="N40" s="9">
        <f t="shared" si="16"/>
        <v>721.8600000000001</v>
      </c>
      <c r="O40" s="9">
        <f t="shared" si="16"/>
        <v>0</v>
      </c>
      <c r="P40" s="9">
        <f t="shared" si="16"/>
        <v>6896.16</v>
      </c>
      <c r="Q40" s="9">
        <f t="shared" si="16"/>
        <v>313241.86755</v>
      </c>
      <c r="R40" s="9">
        <f t="shared" si="16"/>
        <v>0</v>
      </c>
      <c r="S40" s="9">
        <f t="shared" si="16"/>
        <v>464.97999999999996</v>
      </c>
      <c r="T40" s="9">
        <f t="shared" si="16"/>
        <v>0</v>
      </c>
      <c r="U40" s="9">
        <f t="shared" si="16"/>
        <v>6947.050000000001</v>
      </c>
      <c r="V40" s="9">
        <f t="shared" si="16"/>
        <v>202371.3527</v>
      </c>
      <c r="W40" s="9">
        <f t="shared" si="16"/>
        <v>0</v>
      </c>
      <c r="X40" s="9">
        <f t="shared" si="16"/>
        <v>635.05</v>
      </c>
      <c r="Y40" s="9">
        <f t="shared" si="16"/>
        <v>0</v>
      </c>
      <c r="Z40" s="9">
        <f t="shared" si="16"/>
        <v>5951.26</v>
      </c>
      <c r="AA40" s="9">
        <f t="shared" si="16"/>
        <v>274621.41799999995</v>
      </c>
      <c r="AB40" s="9">
        <f t="shared" si="16"/>
        <v>0</v>
      </c>
      <c r="AC40" s="9">
        <f t="shared" si="16"/>
        <v>680.5999999999999</v>
      </c>
      <c r="AD40" s="9">
        <f t="shared" si="16"/>
        <v>0</v>
      </c>
      <c r="AE40" s="9">
        <f t="shared" si="16"/>
        <v>6358.93</v>
      </c>
      <c r="AF40" s="9">
        <f t="shared" si="16"/>
        <v>294742.747</v>
      </c>
      <c r="AG40" s="9">
        <f t="shared" si="16"/>
        <v>0</v>
      </c>
      <c r="AH40" s="9">
        <f t="shared" si="16"/>
        <v>281.725</v>
      </c>
      <c r="AI40" s="9">
        <f t="shared" si="16"/>
        <v>0</v>
      </c>
      <c r="AJ40" s="9">
        <f>SUM(AJ6:AJ33)</f>
        <v>1733053.815</v>
      </c>
      <c r="AK40" s="9">
        <f t="shared" si="16"/>
        <v>0</v>
      </c>
      <c r="AL40" s="9">
        <f>SUM(AL6:AL33)</f>
        <v>465.9</v>
      </c>
      <c r="AO40">
        <f>SUM(AO6:AO33)</f>
        <v>226387.13</v>
      </c>
      <c r="AQ40" s="9">
        <f>SUM(AQ6:AQ33)</f>
        <v>271.187</v>
      </c>
      <c r="AT40">
        <f>SUM(AT6:AT33)</f>
        <v>134271.77000000002</v>
      </c>
      <c r="BF40" s="9">
        <f>BF6+BF7+BF8+BF9+BF10+BF11+BF12+BF13+BF14+BF15+BF16+BF17+BF18+BF19+BF20+BF21+BF22+BF23+BF24+BF25+BF26+BF27+BF28+BF29+BF31+BF30+BF32+BF33</f>
        <v>639.48</v>
      </c>
      <c r="BI40" s="9">
        <f>BI6+BI7+BI8+BI9+BI10+BI11+BI12+BI13+BI14+BI15+BI16+BI17+BI18+BI19+BI20+BI21+BI22+BI23+BI24+BI25+BI26+BI27+BI28+BI29+BI31+BI30+BI32+BI33</f>
        <v>308743.59</v>
      </c>
      <c r="BK40" s="9">
        <f>BK36-BK38</f>
        <v>-2834.11</v>
      </c>
      <c r="BL40">
        <f>BL36-BL38</f>
        <v>0</v>
      </c>
      <c r="BM40">
        <f>BM36-BM38</f>
        <v>481.1835493862567</v>
      </c>
      <c r="BN40">
        <f>BN36-BN38</f>
        <v>-1210020.83</v>
      </c>
    </row>
    <row r="41" spans="38:56" ht="16.5">
      <c r="AL41" s="9">
        <f>'[1]Priedite'!AM41+'[1]Madarina'!AM41+'[1]14_pii'!AM41+'[1]Laismina'!AM41+'[1]46_pii'!AM41+'[1]62_pii'!AM41+'[1]Kamenite'!AM41+'[1]80_pii'!AM41+'[1]81_pii'!AM41+'[1]Kadikitis'!AM41+'[1]123_pii'!AM41+'[1]139_pii'!AM41+'[1]Pasacina'!AM41+'[1]Kamolitis'!AM41+'[1]Annele'!AM41+'[1]234_pii'!AM41+'[1]Saulstarini'!AM41+'[1]Kurzeme'!AM41</f>
        <v>0</v>
      </c>
      <c r="AM41" s="9"/>
      <c r="AN41" s="9"/>
      <c r="AO41" s="127">
        <f>'[1]Priedite'!AP41+'[1]Madarina'!AP41+'[1]14_pii'!AP41+'[1]Laismina'!AP41+'[1]46_pii'!AP41+'[1]62_pii'!AP41+'[1]Kamenite'!AP41+'[1]80_pii'!AP41+'[1]81_pii'!AP41+'[1]Kadikitis'!AP41+'[1]123_pii'!AP41+'[1]139_pii'!AP41+'[1]Pasacina'!AP41+'[1]Kamolitis'!AP41+'[1]Annele'!AP41+'[1]234_pii'!AP41+'[1]Saulstarini'!AP41+'[1]Kurzeme'!AP41</f>
        <v>0</v>
      </c>
      <c r="AQ41" s="9">
        <f>'[2]Mezaparks'!AR41+'[2]153_pii'!AR41+'[2]Sapnudarzs'!AR41+'[2]Teiksma'!AR41+'[2]146_pii'!AR41+'[2]Saulespuke'!AR41+'[2]Zilbīte'!AR41+'[2]Dzintariņš'!AR41+'[2]8_pii'!AR41+'[2]Imanta'!AR41+'[2]Dardedze'!AR41+'[2]Riekstins'!AR41+'[2]Pasacina'!AR41+'[2]Kamolitis'!AR41+'[2]Annele'!AR41+'[2]234_pii'!AR41+'[2]Saulstarini'!AR41+'[2]Kurzeme'!AR41</f>
        <v>0</v>
      </c>
      <c r="AR41" s="9"/>
      <c r="AS41" s="9"/>
      <c r="AT41" s="127">
        <f>'[2]Mezaparks'!AU41+'[2]153_pii'!AU41+'[2]Sapnudarzs'!AU41+'[2]Teiksma'!AU41+'[2]146_pii'!AU41+'[2]Saulespuke'!AU41+'[2]Zilbīte'!AU41+'[2]Dzintariņš'!AU41+'[2]8_pii'!AU41+'[2]Imanta'!AU41+'[2]Dardedze'!AU41+'[2]Riekstins'!AU41+'[2]Pasacina'!AU41+'[2]Kamolitis'!AU41+'[2]Annele'!AU41+'[2]234_pii'!AU41+'[2]Saulstarini'!AU41+'[2]Kurzeme'!AU41</f>
        <v>0</v>
      </c>
      <c r="BA41" s="42">
        <f>SUM('[3]49.pii'!BB41+'[3]57.pii '!BB41+'[3]59.pii'!BB41+'[3]61.pii'!BB41+'[3]66.pii'!BB41+'[3]74.pii'!BB41+'[3]79.pii'!BB41+'[3]106.pii'!BB41+'[3]112.pii'!BB41+'[3]126.pii'!BB41+'[3]148.pii'!BB41+'[3]152.pii'!BB41+'[3]154.pii'!BB41+'[3]160.pii'!BB41+'[3]167.pii'!BB41+'[3]180.pii'!BB41+'[3]182.pii'!BB41+'[3]213.pii'!BB41+'[3]221.pii'!BB41+'[3]231.pii'!BB41+'[3]233.pii'!BB41+'[3]236.pii'!BB41+'[3]241.pii'!BB41+'[3]Zīļuks'!BB41+'[3]243.pii'!BB41+'[3]244.pii'!BB41+'[3]251.pii'!BB41+'[3]252.pii'!BB41+'[3]273.pii'!BB41+'[3]Auseklis'!BB41+'[3]Dzilniņa'!BB41)</f>
        <v>0</v>
      </c>
      <c r="BD41" s="42">
        <f>SUM('[3]49.pii'!BE41+'[3]57.pii '!BE41+'[3]59.pii'!BE41+'[3]61.pii'!BE41+'[3]66.pii'!BE41+'[3]74.pii'!BE41+'[3]79.pii'!BE41+'[3]106.pii'!BE41+'[3]112.pii'!BE41+'[3]126.pii'!BE41+'[3]148.pii'!BE41+'[3]152.pii'!BE41+'[3]154.pii'!BE41+'[3]160.pii'!BE41+'[3]167.pii'!BE41+'[3]180.pii'!BE41+'[3]182.pii'!BE41+'[3]213.pii'!BE41+'[3]221.pii'!BE41+'[3]231.pii'!BE41+'[3]233.pii'!BE41+'[3]236.pii'!BE41+'[3]241.pii'!BE41+'[3]Zīļuks'!BE41+'[3]243.pii'!BE41+'[3]244.pii'!BE41+'[3]251.pii'!BE41+'[3]252.pii'!BE41+'[3]273.pii'!BE41+'[3]Auseklis'!BE41+'[3]Dzilniņa'!BE41)</f>
        <v>0</v>
      </c>
    </row>
    <row r="42" spans="38:66" ht="16.5">
      <c r="AL42" s="9">
        <f>AL41-AL40</f>
        <v>-465.9</v>
      </c>
      <c r="AO42">
        <f>AO41-AO40</f>
        <v>-226387.13</v>
      </c>
      <c r="AQ42" s="9">
        <f>AQ41-AQ40</f>
        <v>-271.187</v>
      </c>
      <c r="AT42">
        <f>AT41-AT40</f>
        <v>-134271.77000000002</v>
      </c>
      <c r="BA42" s="42">
        <f>SUM('[3]49.pii'!BB42+'[3]57.pii '!BB42+'[3]59.pii'!BB42+'[3]61.pii'!BB42+'[3]66.pii'!BB42+'[3]74.pii'!BB42+'[3]79.pii'!BB42+'[3]106.pii'!BB42+'[3]112.pii'!BB42+'[3]126.pii'!BB42+'[3]148.pii'!BB42+'[3]152.pii'!BB42+'[3]154.pii'!BB42+'[3]160.pii'!BB42+'[3]167.pii'!BB42+'[3]180.pii'!BB42+'[3]182.pii'!BB42+'[3]213.pii'!BB42+'[3]221.pii'!BB42+'[3]231.pii'!BB42+'[3]233.pii'!BB42+'[3]236.pii'!BB42+'[3]241.pii'!BB42+'[3]Zīļuks'!BB42+'[3]243.pii'!BB42+'[3]244.pii'!BB42+'[3]251.pii'!BB42+'[3]252.pii'!BB42+'[3]273.pii'!BB42+'[3]Auseklis'!BB42+'[3]Dzilniņa'!BB42)</f>
        <v>0</v>
      </c>
      <c r="BD42" s="42">
        <f>SUM('[3]49.pii'!BE42+'[3]57.pii '!BE42+'[3]59.pii'!BE42+'[3]61.pii'!BE42+'[3]66.pii'!BE42+'[3]74.pii'!BE42+'[3]79.pii'!BE42+'[3]106.pii'!BE42+'[3]112.pii'!BE42+'[3]126.pii'!BE42+'[3]148.pii'!BE42+'[3]152.pii'!BE42+'[3]154.pii'!BE42+'[3]160.pii'!BE42+'[3]167.pii'!BE42+'[3]180.pii'!BE42+'[3]182.pii'!BE42+'[3]213.pii'!BE42+'[3]221.pii'!BE42+'[3]231.pii'!BE42+'[3]233.pii'!BE42+'[3]236.pii'!BE42+'[3]241.pii'!BE42+'[3]Zīļuks'!BE42+'[3]243.pii'!BE42+'[3]244.pii'!BE42+'[3]251.pii'!BE42+'[3]252.pii'!BE42+'[3]273.pii'!BE42+'[3]Auseklis'!BE42+'[3]Dzilniņa'!BE42)</f>
        <v>0</v>
      </c>
      <c r="BK42" s="9">
        <f>SUM(BK6+BK9+BK19+BK21+BK22+BK24+BK25+BK26+BK27+BK28+BK29+BK30+BK31+BK32+BK33+BK34)</f>
        <v>688.35</v>
      </c>
      <c r="BN42" s="9">
        <f>SUM(BN6+BN9+BN19+BN21+BN22+BN24+BN25+BN26+BN27+BN28+BN29+BN30+BN31+BN32+BN33+BN34)</f>
        <v>332503.6</v>
      </c>
    </row>
  </sheetData>
  <sheetProtection/>
  <mergeCells count="31">
    <mergeCell ref="BM3:BM4"/>
    <mergeCell ref="BN3:BN4"/>
    <mergeCell ref="BG3:BG4"/>
    <mergeCell ref="BH3:BH4"/>
    <mergeCell ref="BI3:BI4"/>
    <mergeCell ref="BK3:BK4"/>
    <mergeCell ref="BL3:BL4"/>
    <mergeCell ref="BD3:BD4"/>
    <mergeCell ref="BA3:BA4"/>
    <mergeCell ref="BB3:BB4"/>
    <mergeCell ref="BC3:BC4"/>
    <mergeCell ref="BF3:BF4"/>
    <mergeCell ref="AX3:AX4"/>
    <mergeCell ref="AY3:AY4"/>
    <mergeCell ref="AR3:AR4"/>
    <mergeCell ref="AS3:AS4"/>
    <mergeCell ref="AT3:AT4"/>
    <mergeCell ref="AV3:AV4"/>
    <mergeCell ref="AW3:AW4"/>
    <mergeCell ref="AL3:AL4"/>
    <mergeCell ref="AM3:AM4"/>
    <mergeCell ref="AN3:AN4"/>
    <mergeCell ref="AO3:AO4"/>
    <mergeCell ref="AQ3:AQ4"/>
    <mergeCell ref="A1:F1"/>
    <mergeCell ref="A5:B5"/>
    <mergeCell ref="A4:B4"/>
    <mergeCell ref="A3:C3"/>
    <mergeCell ref="F3:F4"/>
    <mergeCell ref="E3:E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17"/>
  <sheetViews>
    <sheetView zoomScale="90" zoomScaleNormal="90" zoomScalePageLayoutView="0" workbookViewId="0" topLeftCell="A52">
      <selection activeCell="DZ68" sqref="DZ68"/>
    </sheetView>
  </sheetViews>
  <sheetFormatPr defaultColWidth="9.140625" defaultRowHeight="15"/>
  <cols>
    <col min="1" max="1" width="36.00390625" style="59" customWidth="1"/>
    <col min="2" max="2" width="12.28125" style="59" customWidth="1"/>
    <col min="3" max="3" width="34.8515625" style="59" customWidth="1"/>
    <col min="4" max="5" width="18.7109375" style="60" customWidth="1"/>
    <col min="6" max="6" width="15.00390625" style="60" customWidth="1"/>
    <col min="7" max="76" width="9.140625" style="59" hidden="1" customWidth="1"/>
    <col min="77" max="77" width="11.00390625" style="59" hidden="1" customWidth="1"/>
    <col min="78" max="79" width="9.140625" style="59" hidden="1" customWidth="1"/>
    <col min="80" max="80" width="11.00390625" style="59" hidden="1" customWidth="1"/>
    <col min="81" max="81" width="9.140625" style="59" hidden="1" customWidth="1"/>
    <col min="82" max="82" width="6.57421875" style="68" hidden="1" customWidth="1"/>
    <col min="83" max="83" width="9.140625" style="59" hidden="1" customWidth="1"/>
    <col min="84" max="84" width="0" style="59" hidden="1" customWidth="1"/>
    <col min="85" max="85" width="11.00390625" style="59" hidden="1" customWidth="1"/>
    <col min="86" max="93" width="0" style="59" hidden="1" customWidth="1"/>
    <col min="94" max="94" width="12.140625" style="59" hidden="1" customWidth="1"/>
    <col min="95" max="95" width="0.71875" style="68" hidden="1" customWidth="1"/>
    <col min="96" max="96" width="0" style="142" hidden="1" customWidth="1"/>
    <col min="97" max="97" width="13.28125" style="142" hidden="1" customWidth="1"/>
    <col min="98" max="98" width="11.421875" style="142" hidden="1" customWidth="1"/>
    <col min="99" max="99" width="13.00390625" style="142" hidden="1" customWidth="1"/>
    <col min="100" max="100" width="0.9921875" style="68" hidden="1" customWidth="1"/>
    <col min="101" max="101" width="0" style="59" hidden="1" customWidth="1"/>
    <col min="102" max="102" width="12.28125" style="59" hidden="1" customWidth="1"/>
    <col min="103" max="103" width="12.00390625" style="59" hidden="1" customWidth="1"/>
    <col min="104" max="104" width="0" style="59" hidden="1" customWidth="1"/>
    <col min="105" max="105" width="1.57421875" style="68" hidden="1" customWidth="1"/>
    <col min="106" max="106" width="0" style="142" hidden="1" customWidth="1"/>
    <col min="107" max="107" width="12.140625" style="142" hidden="1" customWidth="1"/>
    <col min="108" max="109" width="0" style="142" hidden="1" customWidth="1"/>
    <col min="110" max="110" width="1.1484375" style="142" hidden="1" customWidth="1"/>
    <col min="111" max="111" width="10.421875" style="142" hidden="1" customWidth="1"/>
    <col min="112" max="112" width="0" style="142" hidden="1" customWidth="1"/>
    <col min="113" max="113" width="12.28125" style="142" hidden="1" customWidth="1"/>
    <col min="114" max="114" width="0" style="142" hidden="1" customWidth="1"/>
    <col min="115" max="115" width="1.57421875" style="68" hidden="1" customWidth="1"/>
    <col min="116" max="117" width="0" style="59" hidden="1" customWidth="1"/>
    <col min="118" max="118" width="11.7109375" style="59" hidden="1" customWidth="1"/>
    <col min="119" max="119" width="0" style="59" hidden="1" customWidth="1"/>
    <col min="120" max="120" width="1.8515625" style="68" hidden="1" customWidth="1"/>
    <col min="121" max="121" width="0" style="59" hidden="1" customWidth="1"/>
    <col min="122" max="122" width="12.421875" style="59" hidden="1" customWidth="1"/>
    <col min="123" max="124" width="0" style="59" hidden="1" customWidth="1"/>
    <col min="125" max="16384" width="9.140625" style="59" customWidth="1"/>
  </cols>
  <sheetData>
    <row r="1" spans="1:6" ht="52.5" customHeight="1">
      <c r="A1" s="238" t="s">
        <v>252</v>
      </c>
      <c r="B1" s="238"/>
      <c r="C1" s="238"/>
      <c r="D1" s="238"/>
      <c r="E1" s="238"/>
      <c r="F1" s="238"/>
    </row>
    <row r="2" spans="1:81" ht="42.75" customHeight="1">
      <c r="A2" s="244" t="s">
        <v>271</v>
      </c>
      <c r="B2" s="245"/>
      <c r="C2" s="245"/>
      <c r="D2" s="245"/>
      <c r="E2" s="245"/>
      <c r="F2" s="246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</row>
    <row r="3" spans="1:112" ht="32.25" customHeight="1">
      <c r="A3" s="239" t="s">
        <v>0</v>
      </c>
      <c r="B3" s="241"/>
      <c r="C3" s="240"/>
      <c r="D3" s="242" t="s">
        <v>94</v>
      </c>
      <c r="E3" s="242" t="s">
        <v>95</v>
      </c>
      <c r="F3" s="242" t="s">
        <v>1</v>
      </c>
      <c r="G3" s="76" t="s">
        <v>297</v>
      </c>
      <c r="H3" s="76"/>
      <c r="I3" s="76"/>
      <c r="J3" s="47" t="s">
        <v>94</v>
      </c>
      <c r="K3" s="47" t="s">
        <v>298</v>
      </c>
      <c r="L3" s="47" t="s">
        <v>1</v>
      </c>
      <c r="M3" s="47" t="s">
        <v>94</v>
      </c>
      <c r="N3" s="47" t="s">
        <v>298</v>
      </c>
      <c r="O3" s="47" t="s">
        <v>1</v>
      </c>
      <c r="P3" s="47" t="s">
        <v>94</v>
      </c>
      <c r="Q3" s="47" t="s">
        <v>298</v>
      </c>
      <c r="R3" s="47" t="s">
        <v>1</v>
      </c>
      <c r="S3" s="47" t="s">
        <v>94</v>
      </c>
      <c r="T3" s="47" t="s">
        <v>298</v>
      </c>
      <c r="U3" s="47" t="s">
        <v>1</v>
      </c>
      <c r="V3" s="47" t="s">
        <v>94</v>
      </c>
      <c r="W3" s="47" t="s">
        <v>298</v>
      </c>
      <c r="X3" s="47" t="s">
        <v>1</v>
      </c>
      <c r="Y3" s="47" t="s">
        <v>94</v>
      </c>
      <c r="Z3" s="47" t="s">
        <v>298</v>
      </c>
      <c r="AA3" s="47" t="s">
        <v>1</v>
      </c>
      <c r="AB3" s="47" t="s">
        <v>94</v>
      </c>
      <c r="AC3" s="47" t="s">
        <v>298</v>
      </c>
      <c r="AD3" s="47" t="s">
        <v>1</v>
      </c>
      <c r="AE3" s="47" t="s">
        <v>94</v>
      </c>
      <c r="AF3" s="47" t="s">
        <v>298</v>
      </c>
      <c r="AG3" s="47" t="s">
        <v>1</v>
      </c>
      <c r="AH3" s="47" t="s">
        <v>94</v>
      </c>
      <c r="AI3" s="47" t="s">
        <v>298</v>
      </c>
      <c r="AJ3" s="47" t="s">
        <v>1</v>
      </c>
      <c r="AK3" s="47" t="s">
        <v>94</v>
      </c>
      <c r="AL3" s="47" t="s">
        <v>298</v>
      </c>
      <c r="AM3" s="47" t="s">
        <v>1</v>
      </c>
      <c r="AN3" s="47" t="s">
        <v>94</v>
      </c>
      <c r="AO3" s="47" t="s">
        <v>298</v>
      </c>
      <c r="AP3" s="47" t="s">
        <v>1</v>
      </c>
      <c r="AQ3" s="47" t="s">
        <v>94</v>
      </c>
      <c r="AR3" s="47" t="s">
        <v>298</v>
      </c>
      <c r="AS3" s="47" t="s">
        <v>1</v>
      </c>
      <c r="AT3" s="47" t="s">
        <v>94</v>
      </c>
      <c r="AU3" s="47" t="s">
        <v>298</v>
      </c>
      <c r="AV3" s="47" t="s">
        <v>1</v>
      </c>
      <c r="AW3" s="47" t="s">
        <v>94</v>
      </c>
      <c r="AX3" s="47" t="s">
        <v>298</v>
      </c>
      <c r="AY3" s="47" t="s">
        <v>1</v>
      </c>
      <c r="AZ3" s="47" t="s">
        <v>94</v>
      </c>
      <c r="BA3" s="47" t="s">
        <v>298</v>
      </c>
      <c r="BB3" s="47" t="s">
        <v>1</v>
      </c>
      <c r="BC3" s="47" t="s">
        <v>94</v>
      </c>
      <c r="BD3" s="47" t="s">
        <v>298</v>
      </c>
      <c r="BE3" s="47" t="s">
        <v>1</v>
      </c>
      <c r="BF3" s="47" t="s">
        <v>94</v>
      </c>
      <c r="BG3" s="47" t="s">
        <v>298</v>
      </c>
      <c r="BH3" s="47" t="s">
        <v>1</v>
      </c>
      <c r="BI3" s="47" t="s">
        <v>94</v>
      </c>
      <c r="BJ3" s="47" t="s">
        <v>298</v>
      </c>
      <c r="BK3" s="47" t="s">
        <v>1</v>
      </c>
      <c r="BL3" s="47" t="s">
        <v>94</v>
      </c>
      <c r="BM3" s="47" t="s">
        <v>298</v>
      </c>
      <c r="BN3" s="47" t="s">
        <v>1</v>
      </c>
      <c r="BO3" s="47" t="s">
        <v>94</v>
      </c>
      <c r="BP3" s="47" t="s">
        <v>298</v>
      </c>
      <c r="BQ3" s="47" t="s">
        <v>1</v>
      </c>
      <c r="BR3" s="47" t="s">
        <v>94</v>
      </c>
      <c r="BS3" s="47" t="s">
        <v>298</v>
      </c>
      <c r="BT3" s="47" t="s">
        <v>1</v>
      </c>
      <c r="BU3" s="47" t="s">
        <v>94</v>
      </c>
      <c r="BV3" s="47" t="s">
        <v>298</v>
      </c>
      <c r="BW3" s="47" t="s">
        <v>1</v>
      </c>
      <c r="BX3" s="47" t="s">
        <v>94</v>
      </c>
      <c r="BY3" s="47" t="s">
        <v>298</v>
      </c>
      <c r="BZ3" s="47" t="s">
        <v>1</v>
      </c>
      <c r="CA3" s="47" t="s">
        <v>94</v>
      </c>
      <c r="CB3" s="47" t="s">
        <v>298</v>
      </c>
      <c r="CC3" s="47" t="s">
        <v>1</v>
      </c>
      <c r="CD3" s="85"/>
      <c r="CE3" s="23" t="s">
        <v>1</v>
      </c>
      <c r="CF3" s="23" t="s">
        <v>94</v>
      </c>
      <c r="CG3" s="23" t="s">
        <v>298</v>
      </c>
      <c r="CH3" s="23" t="s">
        <v>1</v>
      </c>
      <c r="CI3" s="76"/>
      <c r="CJ3" s="76"/>
      <c r="CK3" s="76"/>
      <c r="CL3" s="76"/>
      <c r="CM3" s="76"/>
      <c r="CN3" s="76"/>
      <c r="CO3" s="76"/>
      <c r="CP3" s="59" t="s">
        <v>303</v>
      </c>
      <c r="CS3" s="142" t="s">
        <v>340</v>
      </c>
      <c r="CX3" s="59" t="s">
        <v>341</v>
      </c>
      <c r="DC3" s="142" t="s">
        <v>342</v>
      </c>
      <c r="DH3" s="142" t="s">
        <v>343</v>
      </c>
    </row>
    <row r="4" spans="1:122" ht="35.25" customHeight="1">
      <c r="A4" s="239" t="s">
        <v>96</v>
      </c>
      <c r="B4" s="240"/>
      <c r="C4" s="18" t="s">
        <v>2</v>
      </c>
      <c r="D4" s="243"/>
      <c r="E4" s="243"/>
      <c r="F4" s="243"/>
      <c r="G4" s="76"/>
      <c r="H4" s="76"/>
      <c r="I4" s="76"/>
      <c r="J4" s="47"/>
      <c r="K4" s="47"/>
      <c r="L4" s="50"/>
      <c r="M4" s="47"/>
      <c r="N4" s="47"/>
      <c r="O4" s="50"/>
      <c r="P4" s="47"/>
      <c r="Q4" s="47"/>
      <c r="R4" s="50"/>
      <c r="S4" s="47"/>
      <c r="T4" s="47"/>
      <c r="U4" s="50"/>
      <c r="V4" s="47"/>
      <c r="W4" s="47"/>
      <c r="X4" s="50"/>
      <c r="Y4" s="47"/>
      <c r="Z4" s="47"/>
      <c r="AA4" s="50"/>
      <c r="AB4" s="47"/>
      <c r="AC4" s="47"/>
      <c r="AD4" s="50"/>
      <c r="AE4" s="47"/>
      <c r="AF4" s="47"/>
      <c r="AG4" s="50"/>
      <c r="AH4" s="47"/>
      <c r="AI4" s="47"/>
      <c r="AJ4" s="50"/>
      <c r="AK4" s="47"/>
      <c r="AL4" s="47"/>
      <c r="AM4" s="50"/>
      <c r="AN4" s="47"/>
      <c r="AO4" s="47"/>
      <c r="AP4" s="50"/>
      <c r="AQ4" s="47"/>
      <c r="AR4" s="47"/>
      <c r="AS4" s="50"/>
      <c r="AT4" s="47"/>
      <c r="AU4" s="47"/>
      <c r="AV4" s="50"/>
      <c r="AW4" s="47"/>
      <c r="AX4" s="47"/>
      <c r="AY4" s="50"/>
      <c r="AZ4" s="47"/>
      <c r="BA4" s="47"/>
      <c r="BB4" s="50"/>
      <c r="BC4" s="47"/>
      <c r="BD4" s="47"/>
      <c r="BE4" s="50"/>
      <c r="BF4" s="47"/>
      <c r="BG4" s="47"/>
      <c r="BH4" s="50"/>
      <c r="BI4" s="47"/>
      <c r="BJ4" s="47"/>
      <c r="BK4" s="50"/>
      <c r="BL4" s="47"/>
      <c r="BM4" s="47"/>
      <c r="BN4" s="50"/>
      <c r="BO4" s="47"/>
      <c r="BP4" s="47"/>
      <c r="BQ4" s="50"/>
      <c r="BR4" s="47"/>
      <c r="BS4" s="47"/>
      <c r="BT4" s="50"/>
      <c r="BU4" s="47"/>
      <c r="BV4" s="47"/>
      <c r="BW4" s="50"/>
      <c r="BX4" s="47"/>
      <c r="BY4" s="47"/>
      <c r="BZ4" s="50"/>
      <c r="CA4" s="47"/>
      <c r="CB4" s="47"/>
      <c r="CC4" s="50"/>
      <c r="CD4" s="88"/>
      <c r="CE4" s="34"/>
      <c r="CF4" s="23"/>
      <c r="CG4" s="23"/>
      <c r="CH4" s="34"/>
      <c r="CI4" s="76"/>
      <c r="CJ4" s="76"/>
      <c r="CK4" s="76"/>
      <c r="CL4" s="76"/>
      <c r="CM4" s="76"/>
      <c r="CN4" s="76"/>
      <c r="CO4" s="76"/>
      <c r="DR4" s="59" t="s">
        <v>344</v>
      </c>
    </row>
    <row r="5" spans="1:124" ht="15" customHeight="1">
      <c r="A5" s="47">
        <v>1</v>
      </c>
      <c r="B5" s="47"/>
      <c r="C5" s="18">
        <v>2</v>
      </c>
      <c r="D5" s="18">
        <v>3</v>
      </c>
      <c r="E5" s="18">
        <v>4</v>
      </c>
      <c r="F5" s="18">
        <v>5</v>
      </c>
      <c r="G5" s="76"/>
      <c r="H5" s="76"/>
      <c r="I5" s="76"/>
      <c r="J5" s="37"/>
      <c r="K5" s="37"/>
      <c r="L5" s="37" t="e">
        <f aca="true" t="shared" si="0" ref="L5:L19">K5/J5</f>
        <v>#DIV/0!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78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R5" s="143">
        <v>3</v>
      </c>
      <c r="CS5" s="143">
        <v>4</v>
      </c>
      <c r="CT5" s="143">
        <v>5</v>
      </c>
      <c r="CU5" s="144">
        <v>6</v>
      </c>
      <c r="CW5" s="18">
        <v>3</v>
      </c>
      <c r="CX5" s="18">
        <v>4</v>
      </c>
      <c r="CY5" s="18">
        <v>5</v>
      </c>
      <c r="CZ5" s="77">
        <v>6</v>
      </c>
      <c r="DB5" s="143">
        <v>3</v>
      </c>
      <c r="DC5" s="143">
        <v>4</v>
      </c>
      <c r="DD5" s="143">
        <v>5</v>
      </c>
      <c r="DE5" s="144">
        <v>6</v>
      </c>
      <c r="DG5" s="160">
        <v>3</v>
      </c>
      <c r="DH5" s="160">
        <v>4</v>
      </c>
      <c r="DI5" s="160">
        <v>5</v>
      </c>
      <c r="DJ5" s="160">
        <v>6</v>
      </c>
      <c r="DL5" s="18">
        <v>3</v>
      </c>
      <c r="DM5" s="18">
        <v>4</v>
      </c>
      <c r="DN5" s="18">
        <v>5</v>
      </c>
      <c r="DO5" s="77">
        <v>6</v>
      </c>
      <c r="DQ5" s="18">
        <v>3</v>
      </c>
      <c r="DR5" s="18">
        <v>4</v>
      </c>
      <c r="DS5" s="18">
        <v>5</v>
      </c>
      <c r="DT5" s="77">
        <v>6</v>
      </c>
    </row>
    <row r="6" spans="1:124" ht="36.75" customHeight="1">
      <c r="A6" s="4" t="s">
        <v>112</v>
      </c>
      <c r="B6" s="4" t="s">
        <v>30</v>
      </c>
      <c r="C6" s="6" t="s">
        <v>117</v>
      </c>
      <c r="D6" s="43">
        <f>CR6+DB6+DG6+DQ6+CW6+DL6</f>
        <v>1</v>
      </c>
      <c r="E6" s="124" t="s">
        <v>318</v>
      </c>
      <c r="F6" s="43">
        <f>CP6/D6</f>
        <v>1200</v>
      </c>
      <c r="G6" s="59">
        <f aca="true" t="shared" si="1" ref="G6:G19">K6+N6+Q6+T6+W6+Z6+AC6+AF6+AI6+AL6+AO6+AR6+AU6+AX6+BA6+BD6+BG6+BJ6+BM6+BP6+BS6+BV6+BY6+CB6+CG6</f>
        <v>1200</v>
      </c>
      <c r="J6" s="28"/>
      <c r="K6" s="28"/>
      <c r="L6" s="37" t="e">
        <f t="shared" si="0"/>
        <v>#DIV/0!</v>
      </c>
      <c r="M6" s="28"/>
      <c r="N6" s="28"/>
      <c r="O6" s="28" t="e">
        <f aca="true" t="shared" si="2" ref="O6:O19">N6/M6</f>
        <v>#DIV/0!</v>
      </c>
      <c r="P6" s="28"/>
      <c r="Q6" s="28"/>
      <c r="R6" s="28" t="e">
        <f aca="true" t="shared" si="3" ref="R6:R19">Q6/P6</f>
        <v>#DIV/0!</v>
      </c>
      <c r="S6" s="28"/>
      <c r="T6" s="28"/>
      <c r="U6" s="28" t="e">
        <f aca="true" t="shared" si="4" ref="U6:U19">T6/S6</f>
        <v>#DIV/0!</v>
      </c>
      <c r="V6" s="28"/>
      <c r="W6" s="28"/>
      <c r="X6" s="28" t="e">
        <f aca="true" t="shared" si="5" ref="X6:X19">W6/V6</f>
        <v>#DIV/0!</v>
      </c>
      <c r="Y6" s="28"/>
      <c r="Z6" s="28"/>
      <c r="AA6" s="28" t="e">
        <f aca="true" t="shared" si="6" ref="AA6:AA19">Z6/Y6</f>
        <v>#DIV/0!</v>
      </c>
      <c r="AB6" s="28"/>
      <c r="AC6" s="28"/>
      <c r="AD6" s="28" t="e">
        <f aca="true" t="shared" si="7" ref="AD6:AD19">AC6/AB6</f>
        <v>#DIV/0!</v>
      </c>
      <c r="AE6" s="28"/>
      <c r="AF6" s="28"/>
      <c r="AG6" s="28" t="e">
        <f aca="true" t="shared" si="8" ref="AG6:AG19">AF6/AE6</f>
        <v>#DIV/0!</v>
      </c>
      <c r="AH6" s="28"/>
      <c r="AI6" s="28"/>
      <c r="AJ6" s="28" t="e">
        <f aca="true" t="shared" si="9" ref="AJ6:AJ19">AI6/AH6</f>
        <v>#DIV/0!</v>
      </c>
      <c r="AK6" s="28"/>
      <c r="AL6" s="28"/>
      <c r="AM6" s="28" t="e">
        <f aca="true" t="shared" si="10" ref="AM6:AM19">AL6/AK6</f>
        <v>#DIV/0!</v>
      </c>
      <c r="AN6" s="28"/>
      <c r="AO6" s="28"/>
      <c r="AP6" s="28" t="e">
        <f aca="true" t="shared" si="11" ref="AP6:AP19">AO6/AN6</f>
        <v>#DIV/0!</v>
      </c>
      <c r="AQ6" s="28"/>
      <c r="AR6" s="28"/>
      <c r="AS6" s="28" t="e">
        <f aca="true" t="shared" si="12" ref="AS6:AS19">AR6/AQ6</f>
        <v>#DIV/0!</v>
      </c>
      <c r="AT6" s="28"/>
      <c r="AU6" s="28"/>
      <c r="AV6" s="28" t="e">
        <f aca="true" t="shared" si="13" ref="AV6:AV19">AU6/AT6</f>
        <v>#DIV/0!</v>
      </c>
      <c r="AW6" s="28"/>
      <c r="AX6" s="28"/>
      <c r="AY6" s="28" t="e">
        <f aca="true" t="shared" si="14" ref="AY6:AY19">AX6/AW6</f>
        <v>#DIV/0!</v>
      </c>
      <c r="AZ6" s="28"/>
      <c r="BA6" s="28"/>
      <c r="BB6" s="28" t="e">
        <f aca="true" t="shared" si="15" ref="BB6:BB19">BA6/AZ6</f>
        <v>#DIV/0!</v>
      </c>
      <c r="BC6" s="28"/>
      <c r="BD6" s="28"/>
      <c r="BE6" s="28" t="e">
        <f aca="true" t="shared" si="16" ref="BE6:BE19">BD6/BC6</f>
        <v>#DIV/0!</v>
      </c>
      <c r="BF6" s="28"/>
      <c r="BG6" s="28"/>
      <c r="BH6" s="28" t="e">
        <f aca="true" t="shared" si="17" ref="BH6:BH19">BG6/BF6</f>
        <v>#DIV/0!</v>
      </c>
      <c r="BI6" s="28"/>
      <c r="BJ6" s="28"/>
      <c r="BK6" s="28" t="e">
        <f aca="true" t="shared" si="18" ref="BK6:BK19">BJ6/BI6</f>
        <v>#DIV/0!</v>
      </c>
      <c r="BL6" s="28"/>
      <c r="BM6" s="28"/>
      <c r="BN6" s="28" t="e">
        <f aca="true" t="shared" si="19" ref="BN6:BN19">BM6/BL6</f>
        <v>#DIV/0!</v>
      </c>
      <c r="BO6" s="28"/>
      <c r="BP6" s="28"/>
      <c r="BQ6" s="28" t="e">
        <f aca="true" t="shared" si="20" ref="BQ6:BQ19">BP6/BO6</f>
        <v>#DIV/0!</v>
      </c>
      <c r="BR6" s="28"/>
      <c r="BS6" s="28"/>
      <c r="BT6" s="28" t="e">
        <f aca="true" t="shared" si="21" ref="BT6:BT19">BS6/BR6</f>
        <v>#DIV/0!</v>
      </c>
      <c r="BU6" s="28"/>
      <c r="BV6" s="28"/>
      <c r="BW6" s="28" t="e">
        <f aca="true" t="shared" si="22" ref="BW6:BW19">BV6/BU6</f>
        <v>#DIV/0!</v>
      </c>
      <c r="BX6" s="28"/>
      <c r="BY6" s="28"/>
      <c r="BZ6" s="28" t="e">
        <f aca="true" t="shared" si="23" ref="BZ6:BZ19">BY6/BX6</f>
        <v>#DIV/0!</v>
      </c>
      <c r="CA6" s="28"/>
      <c r="CB6" s="28"/>
      <c r="CC6" s="28" t="e">
        <f aca="true" t="shared" si="24" ref="CC6:CC19">CB6/CA6</f>
        <v>#DIV/0!</v>
      </c>
      <c r="CD6" s="33"/>
      <c r="CF6" s="59">
        <v>1</v>
      </c>
      <c r="CG6" s="59">
        <f>CF6*CH6</f>
        <v>1200</v>
      </c>
      <c r="CH6" s="59">
        <v>1200</v>
      </c>
      <c r="CP6" s="80">
        <f>CU6+DE6+DJ6+CZ6+DO6+DT6</f>
        <v>1200</v>
      </c>
      <c r="CR6" s="145">
        <v>0</v>
      </c>
      <c r="CS6" s="146" t="s">
        <v>318</v>
      </c>
      <c r="CT6" s="145" t="e">
        <v>#DIV/0!</v>
      </c>
      <c r="CU6" s="147">
        <v>0</v>
      </c>
      <c r="CW6" s="43">
        <f>'[4]Skolēnu Pils'!CW6+'[4]Laimīte'!CW6+'[4]Daugmale'!CW6+'[4]Altona'!CW6+'[4]Šaha'!CW6+'[4]BSKR_Rīga'!CW6</f>
        <v>0</v>
      </c>
      <c r="CX6" s="124" t="s">
        <v>318</v>
      </c>
      <c r="CY6" s="43" t="e">
        <f>CZ6/CW6</f>
        <v>#DIV/0!</v>
      </c>
      <c r="CZ6" s="139">
        <f>'[4]Skolēnu Pils'!CZ6+'[4]Laimīte'!CZ6+'[4]Daugmale'!CZ6+'[4]Altona'!CZ6+'[4]Šaha'!CZ6+'[4]BSKR_Rīga'!CZ6</f>
        <v>0</v>
      </c>
      <c r="DB6" s="152">
        <v>0</v>
      </c>
      <c r="DC6" s="146" t="s">
        <v>318</v>
      </c>
      <c r="DD6" s="145" t="e">
        <v>#DIV/0!</v>
      </c>
      <c r="DE6" s="152">
        <v>0</v>
      </c>
      <c r="DG6" s="160">
        <v>0</v>
      </c>
      <c r="DH6" s="160" t="s">
        <v>318</v>
      </c>
      <c r="DI6" s="160" t="e">
        <v>#DIV/0!</v>
      </c>
      <c r="DJ6" s="160">
        <v>0</v>
      </c>
      <c r="DL6" s="42"/>
      <c r="DM6" s="124" t="s">
        <v>318</v>
      </c>
      <c r="DN6" s="43" t="e">
        <f>DO6/DL6</f>
        <v>#DIV/0!</v>
      </c>
      <c r="DO6" s="52"/>
      <c r="DQ6" s="42">
        <v>1</v>
      </c>
      <c r="DR6" s="124" t="s">
        <v>318</v>
      </c>
      <c r="DS6" s="43">
        <f>DT6/DQ6</f>
        <v>1200</v>
      </c>
      <c r="DT6" s="52">
        <v>1200</v>
      </c>
    </row>
    <row r="7" spans="1:124" ht="33">
      <c r="A7" s="3" t="s">
        <v>28</v>
      </c>
      <c r="B7" s="2" t="s">
        <v>6</v>
      </c>
      <c r="C7" s="6" t="s">
        <v>38</v>
      </c>
      <c r="D7" s="43">
        <f aca="true" t="shared" si="25" ref="D7:D70">CR7+DB7+DG7+DQ7+CW7+DL7</f>
        <v>21</v>
      </c>
      <c r="E7" s="119" t="s">
        <v>307</v>
      </c>
      <c r="F7" s="43">
        <f aca="true" t="shared" si="26" ref="F7:F70">CP7/D7</f>
        <v>957.1428571428571</v>
      </c>
      <c r="G7" s="59">
        <f t="shared" si="1"/>
        <v>17111</v>
      </c>
      <c r="J7" s="52">
        <v>1</v>
      </c>
      <c r="K7" s="52">
        <f>932</f>
        <v>932</v>
      </c>
      <c r="L7" s="77">
        <f t="shared" si="0"/>
        <v>932</v>
      </c>
      <c r="M7" s="52">
        <v>1</v>
      </c>
      <c r="N7" s="52">
        <f>572</f>
        <v>572</v>
      </c>
      <c r="O7" s="52">
        <f t="shared" si="2"/>
        <v>572</v>
      </c>
      <c r="P7" s="52">
        <v>1</v>
      </c>
      <c r="Q7" s="52">
        <f>976</f>
        <v>976</v>
      </c>
      <c r="R7" s="52">
        <f t="shared" si="3"/>
        <v>976</v>
      </c>
      <c r="S7" s="52"/>
      <c r="T7" s="52"/>
      <c r="U7" s="52" t="e">
        <f t="shared" si="4"/>
        <v>#DIV/0!</v>
      </c>
      <c r="V7" s="52">
        <f>1</f>
        <v>1</v>
      </c>
      <c r="W7" s="52">
        <f>880</f>
        <v>880</v>
      </c>
      <c r="X7" s="52">
        <f t="shared" si="5"/>
        <v>880</v>
      </c>
      <c r="Y7" s="52">
        <v>1</v>
      </c>
      <c r="Z7" s="52">
        <f>902</f>
        <v>902</v>
      </c>
      <c r="AA7" s="52">
        <f t="shared" si="6"/>
        <v>902</v>
      </c>
      <c r="AB7" s="52">
        <v>1</v>
      </c>
      <c r="AC7" s="52">
        <f>880</f>
        <v>880</v>
      </c>
      <c r="AD7" s="52">
        <f t="shared" si="7"/>
        <v>880</v>
      </c>
      <c r="AE7" s="52">
        <v>1</v>
      </c>
      <c r="AF7" s="52">
        <f>720</f>
        <v>720</v>
      </c>
      <c r="AG7" s="52">
        <f t="shared" si="8"/>
        <v>720</v>
      </c>
      <c r="AH7" s="52">
        <v>1</v>
      </c>
      <c r="AI7" s="52">
        <f>787</f>
        <v>787</v>
      </c>
      <c r="AJ7" s="52">
        <f t="shared" si="9"/>
        <v>787</v>
      </c>
      <c r="AK7" s="52">
        <f>1</f>
        <v>1</v>
      </c>
      <c r="AL7" s="52">
        <f>765</f>
        <v>765</v>
      </c>
      <c r="AM7" s="52">
        <f t="shared" si="10"/>
        <v>765</v>
      </c>
      <c r="AN7" s="52">
        <v>1</v>
      </c>
      <c r="AO7" s="52">
        <f>777</f>
        <v>777</v>
      </c>
      <c r="AP7" s="52">
        <f t="shared" si="11"/>
        <v>777</v>
      </c>
      <c r="AQ7" s="52">
        <f>1</f>
        <v>1</v>
      </c>
      <c r="AR7" s="52">
        <f>845</f>
        <v>845</v>
      </c>
      <c r="AS7" s="52">
        <f t="shared" si="12"/>
        <v>845</v>
      </c>
      <c r="AT7" s="52">
        <v>1</v>
      </c>
      <c r="AU7" s="52">
        <f>620</f>
        <v>620</v>
      </c>
      <c r="AV7" s="52">
        <f t="shared" si="13"/>
        <v>620</v>
      </c>
      <c r="AW7" s="52">
        <v>1</v>
      </c>
      <c r="AX7" s="52">
        <f>887</f>
        <v>887</v>
      </c>
      <c r="AY7" s="52">
        <f t="shared" si="14"/>
        <v>887</v>
      </c>
      <c r="AZ7" s="52"/>
      <c r="BA7" s="52"/>
      <c r="BB7" s="52" t="e">
        <f t="shared" si="15"/>
        <v>#DIV/0!</v>
      </c>
      <c r="BC7" s="52">
        <f>1</f>
        <v>1</v>
      </c>
      <c r="BD7" s="52">
        <f>960</f>
        <v>960</v>
      </c>
      <c r="BE7" s="52">
        <f t="shared" si="16"/>
        <v>960</v>
      </c>
      <c r="BF7" s="52">
        <v>1</v>
      </c>
      <c r="BG7" s="52">
        <f>978</f>
        <v>978</v>
      </c>
      <c r="BH7" s="52">
        <f t="shared" si="17"/>
        <v>978</v>
      </c>
      <c r="BI7" s="52">
        <v>1</v>
      </c>
      <c r="BJ7" s="52">
        <f>874</f>
        <v>874</v>
      </c>
      <c r="BK7" s="52">
        <f t="shared" si="18"/>
        <v>874</v>
      </c>
      <c r="BL7" s="52"/>
      <c r="BM7" s="52"/>
      <c r="BN7" s="52" t="e">
        <f t="shared" si="19"/>
        <v>#DIV/0!</v>
      </c>
      <c r="BO7" s="52">
        <f>1</f>
        <v>1</v>
      </c>
      <c r="BP7" s="52">
        <f>978</f>
        <v>978</v>
      </c>
      <c r="BQ7" s="52">
        <f t="shared" si="20"/>
        <v>978</v>
      </c>
      <c r="BR7" s="52"/>
      <c r="BS7" s="52"/>
      <c r="BT7" s="52" t="e">
        <f t="shared" si="21"/>
        <v>#DIV/0!</v>
      </c>
      <c r="BU7" s="52">
        <v>1</v>
      </c>
      <c r="BV7" s="52">
        <f>900</f>
        <v>900</v>
      </c>
      <c r="BW7" s="52">
        <f t="shared" si="22"/>
        <v>900</v>
      </c>
      <c r="BX7" s="52"/>
      <c r="BY7" s="52"/>
      <c r="BZ7" s="52" t="e">
        <f t="shared" si="23"/>
        <v>#DIV/0!</v>
      </c>
      <c r="CA7" s="52">
        <v>1</v>
      </c>
      <c r="CB7" s="52">
        <f>978</f>
        <v>978</v>
      </c>
      <c r="CC7" s="52">
        <f t="shared" si="24"/>
        <v>978</v>
      </c>
      <c r="CD7" s="33"/>
      <c r="CF7" s="59">
        <v>1</v>
      </c>
      <c r="CG7" s="59">
        <f>CF7*CH7</f>
        <v>900</v>
      </c>
      <c r="CH7" s="59">
        <v>900</v>
      </c>
      <c r="CP7" s="80">
        <f aca="true" t="shared" si="27" ref="CP7:CP70">CU7+DE7+DJ7+CZ7+DO7+DT7</f>
        <v>20100</v>
      </c>
      <c r="CR7" s="145">
        <v>5</v>
      </c>
      <c r="CS7" s="148" t="s">
        <v>307</v>
      </c>
      <c r="CT7" s="145">
        <v>1017.4</v>
      </c>
      <c r="CU7" s="147">
        <v>5087</v>
      </c>
      <c r="CW7" s="43">
        <f>'[4]Skolēnu Pils'!CW7+'[4]Laimīte'!CW7+'[4]Daugmale'!CW7+'[4]Altona'!CW7+'[4]Šaha'!CW7+'[4]BSKR_Rīga'!CW7</f>
        <v>0</v>
      </c>
      <c r="CX7" s="119" t="s">
        <v>307</v>
      </c>
      <c r="CY7" s="43" t="e">
        <f aca="true" t="shared" si="28" ref="CY7:CY70">CZ7/CW7</f>
        <v>#DIV/0!</v>
      </c>
      <c r="CZ7" s="139">
        <f>'[4]Skolēnu Pils'!CZ7+'[4]Laimīte'!CZ7+'[4]Daugmale'!CZ7+'[4]Altona'!CZ7+'[4]Šaha'!CZ7+'[4]BSKR_Rīga'!CZ7</f>
        <v>0</v>
      </c>
      <c r="DB7" s="152">
        <v>9</v>
      </c>
      <c r="DC7" s="148" t="s">
        <v>307</v>
      </c>
      <c r="DD7" s="145">
        <v>884.4444444444445</v>
      </c>
      <c r="DE7" s="152">
        <v>7960</v>
      </c>
      <c r="DG7" s="160">
        <v>6</v>
      </c>
      <c r="DH7" s="160" t="s">
        <v>307</v>
      </c>
      <c r="DI7" s="160">
        <v>1020.5</v>
      </c>
      <c r="DJ7" s="160">
        <v>6123</v>
      </c>
      <c r="DL7" s="42"/>
      <c r="DM7" s="119" t="s">
        <v>307</v>
      </c>
      <c r="DN7" s="43" t="e">
        <f aca="true" t="shared" si="29" ref="DN7:DN70">DO7/DL7</f>
        <v>#DIV/0!</v>
      </c>
      <c r="DO7" s="52"/>
      <c r="DQ7" s="42">
        <v>1</v>
      </c>
      <c r="DR7" s="119" t="s">
        <v>307</v>
      </c>
      <c r="DS7" s="43">
        <f aca="true" t="shared" si="30" ref="DS7:DS70">DT7/DQ7</f>
        <v>930</v>
      </c>
      <c r="DT7" s="52">
        <v>930</v>
      </c>
    </row>
    <row r="8" spans="1:124" ht="33">
      <c r="A8" s="3" t="s">
        <v>28</v>
      </c>
      <c r="B8" s="2" t="s">
        <v>6</v>
      </c>
      <c r="C8" s="6" t="s">
        <v>87</v>
      </c>
      <c r="D8" s="43">
        <f t="shared" si="25"/>
        <v>10</v>
      </c>
      <c r="E8" s="119" t="s">
        <v>307</v>
      </c>
      <c r="F8" s="43">
        <f t="shared" si="26"/>
        <v>973.5</v>
      </c>
      <c r="G8" s="59">
        <f t="shared" si="1"/>
        <v>7247</v>
      </c>
      <c r="J8" s="52"/>
      <c r="K8" s="52"/>
      <c r="L8" s="77" t="e">
        <f t="shared" si="0"/>
        <v>#DIV/0!</v>
      </c>
      <c r="M8" s="52"/>
      <c r="N8" s="52"/>
      <c r="O8" s="52" t="e">
        <f t="shared" si="2"/>
        <v>#DIV/0!</v>
      </c>
      <c r="P8" s="52">
        <f>1</f>
        <v>1</v>
      </c>
      <c r="Q8" s="52">
        <f>800</f>
        <v>800</v>
      </c>
      <c r="R8" s="52">
        <f t="shared" si="3"/>
        <v>800</v>
      </c>
      <c r="S8" s="52"/>
      <c r="T8" s="52"/>
      <c r="U8" s="52" t="e">
        <f t="shared" si="4"/>
        <v>#DIV/0!</v>
      </c>
      <c r="V8" s="52"/>
      <c r="W8" s="52"/>
      <c r="X8" s="52" t="e">
        <f t="shared" si="5"/>
        <v>#DIV/0!</v>
      </c>
      <c r="Y8" s="52"/>
      <c r="Z8" s="52"/>
      <c r="AA8" s="52" t="e">
        <f t="shared" si="6"/>
        <v>#DIV/0!</v>
      </c>
      <c r="AB8" s="52"/>
      <c r="AC8" s="52"/>
      <c r="AD8" s="52" t="e">
        <f t="shared" si="7"/>
        <v>#DIV/0!</v>
      </c>
      <c r="AE8" s="52"/>
      <c r="AF8" s="52"/>
      <c r="AG8" s="52" t="e">
        <f t="shared" si="8"/>
        <v>#DIV/0!</v>
      </c>
      <c r="AH8" s="52"/>
      <c r="AI8" s="52"/>
      <c r="AJ8" s="52" t="e">
        <f t="shared" si="9"/>
        <v>#DIV/0!</v>
      </c>
      <c r="AK8" s="52"/>
      <c r="AL8" s="52"/>
      <c r="AM8" s="52" t="e">
        <f t="shared" si="10"/>
        <v>#DIV/0!</v>
      </c>
      <c r="AN8" s="52"/>
      <c r="AO8" s="52"/>
      <c r="AP8" s="52" t="e">
        <f t="shared" si="11"/>
        <v>#DIV/0!</v>
      </c>
      <c r="AQ8" s="52"/>
      <c r="AR8" s="52"/>
      <c r="AS8" s="52" t="e">
        <f t="shared" si="12"/>
        <v>#DIV/0!</v>
      </c>
      <c r="AT8" s="52"/>
      <c r="AU8" s="52"/>
      <c r="AV8" s="52" t="e">
        <f t="shared" si="13"/>
        <v>#DIV/0!</v>
      </c>
      <c r="AW8" s="52">
        <f>1</f>
        <v>1</v>
      </c>
      <c r="AX8" s="52">
        <f>880</f>
        <v>880</v>
      </c>
      <c r="AY8" s="52">
        <f t="shared" si="14"/>
        <v>880</v>
      </c>
      <c r="AZ8" s="52"/>
      <c r="BA8" s="52"/>
      <c r="BB8" s="52" t="e">
        <f t="shared" si="15"/>
        <v>#DIV/0!</v>
      </c>
      <c r="BC8" s="52">
        <f>1</f>
        <v>1</v>
      </c>
      <c r="BD8" s="52">
        <f>960</f>
        <v>960</v>
      </c>
      <c r="BE8" s="52">
        <f t="shared" si="16"/>
        <v>960</v>
      </c>
      <c r="BF8" s="52">
        <f>1</f>
        <v>1</v>
      </c>
      <c r="BG8" s="52">
        <f>874</f>
        <v>874</v>
      </c>
      <c r="BH8" s="52">
        <f t="shared" si="17"/>
        <v>874</v>
      </c>
      <c r="BI8" s="52"/>
      <c r="BJ8" s="52"/>
      <c r="BK8" s="52" t="e">
        <f t="shared" si="18"/>
        <v>#DIV/0!</v>
      </c>
      <c r="BL8" s="52"/>
      <c r="BM8" s="52"/>
      <c r="BN8" s="52" t="e">
        <f t="shared" si="19"/>
        <v>#DIV/0!</v>
      </c>
      <c r="BO8" s="52">
        <f>1</f>
        <v>1</v>
      </c>
      <c r="BP8" s="52">
        <f>967</f>
        <v>967</v>
      </c>
      <c r="BQ8" s="52">
        <f t="shared" si="20"/>
        <v>967</v>
      </c>
      <c r="BR8" s="52"/>
      <c r="BS8" s="52"/>
      <c r="BT8" s="52" t="e">
        <f t="shared" si="21"/>
        <v>#DIV/0!</v>
      </c>
      <c r="BU8" s="52">
        <f>1</f>
        <v>1</v>
      </c>
      <c r="BV8" s="52">
        <f>810</f>
        <v>810</v>
      </c>
      <c r="BW8" s="52">
        <f t="shared" si="22"/>
        <v>810</v>
      </c>
      <c r="BX8" s="52"/>
      <c r="BY8" s="52"/>
      <c r="BZ8" s="52" t="e">
        <f t="shared" si="23"/>
        <v>#DIV/0!</v>
      </c>
      <c r="CA8" s="52">
        <f>1+1</f>
        <v>2</v>
      </c>
      <c r="CB8" s="52">
        <f>978+978</f>
        <v>1956</v>
      </c>
      <c r="CC8" s="52">
        <f t="shared" si="24"/>
        <v>978</v>
      </c>
      <c r="CD8" s="33"/>
      <c r="CH8" s="59">
        <f>CF8*CG8</f>
        <v>0</v>
      </c>
      <c r="CP8" s="80">
        <f t="shared" si="27"/>
        <v>9735</v>
      </c>
      <c r="CR8" s="145">
        <v>3</v>
      </c>
      <c r="CS8" s="148" t="s">
        <v>307</v>
      </c>
      <c r="CT8" s="145">
        <v>994.3333333333334</v>
      </c>
      <c r="CU8" s="147">
        <v>2983</v>
      </c>
      <c r="CW8" s="43">
        <f>'[4]Skolēnu Pils'!CW8+'[4]Laimīte'!CW8+'[4]Daugmale'!CW8+'[4]Altona'!CW8+'[4]Šaha'!CW8+'[4]BSKR_Rīga'!CW8</f>
        <v>0</v>
      </c>
      <c r="CX8" s="119" t="s">
        <v>307</v>
      </c>
      <c r="CY8" s="43" t="e">
        <f t="shared" si="28"/>
        <v>#DIV/0!</v>
      </c>
      <c r="CZ8" s="139">
        <f>'[4]Skolēnu Pils'!CZ8+'[4]Laimīte'!CZ8+'[4]Daugmale'!CZ8+'[4]Altona'!CZ8+'[4]Šaha'!CZ8+'[4]BSKR_Rīga'!CZ8</f>
        <v>0</v>
      </c>
      <c r="DB8" s="152">
        <v>1</v>
      </c>
      <c r="DC8" s="148" t="s">
        <v>307</v>
      </c>
      <c r="DD8" s="145">
        <v>876</v>
      </c>
      <c r="DE8" s="152">
        <v>876</v>
      </c>
      <c r="DG8" s="160">
        <v>6</v>
      </c>
      <c r="DH8" s="160" t="s">
        <v>307</v>
      </c>
      <c r="DI8" s="160">
        <v>979.3333333333334</v>
      </c>
      <c r="DJ8" s="160">
        <v>5876</v>
      </c>
      <c r="DL8" s="42"/>
      <c r="DM8" s="119" t="s">
        <v>307</v>
      </c>
      <c r="DN8" s="43" t="e">
        <f t="shared" si="29"/>
        <v>#DIV/0!</v>
      </c>
      <c r="DO8" s="52"/>
      <c r="DQ8" s="42"/>
      <c r="DR8" s="119" t="s">
        <v>307</v>
      </c>
      <c r="DS8" s="43" t="e">
        <f t="shared" si="30"/>
        <v>#DIV/0!</v>
      </c>
      <c r="DT8" s="52"/>
    </row>
    <row r="9" spans="1:124" ht="17.25">
      <c r="A9" s="3" t="s">
        <v>28</v>
      </c>
      <c r="B9" s="4" t="s">
        <v>30</v>
      </c>
      <c r="C9" s="6" t="s">
        <v>118</v>
      </c>
      <c r="D9" s="43">
        <f t="shared" si="25"/>
        <v>4.25</v>
      </c>
      <c r="E9" s="124" t="s">
        <v>315</v>
      </c>
      <c r="F9" s="43">
        <f t="shared" si="26"/>
        <v>669.2941176470588</v>
      </c>
      <c r="G9" s="59">
        <f t="shared" si="1"/>
        <v>2688</v>
      </c>
      <c r="J9" s="52"/>
      <c r="K9" s="52"/>
      <c r="L9" s="77" t="e">
        <f t="shared" si="0"/>
        <v>#DIV/0!</v>
      </c>
      <c r="M9" s="52"/>
      <c r="N9" s="52"/>
      <c r="O9" s="52" t="e">
        <f t="shared" si="2"/>
        <v>#DIV/0!</v>
      </c>
      <c r="P9" s="52"/>
      <c r="Q9" s="52"/>
      <c r="R9" s="52" t="e">
        <f t="shared" si="3"/>
        <v>#DIV/0!</v>
      </c>
      <c r="S9" s="52"/>
      <c r="T9" s="52"/>
      <c r="U9" s="52" t="e">
        <f t="shared" si="4"/>
        <v>#DIV/0!</v>
      </c>
      <c r="V9" s="52"/>
      <c r="W9" s="52"/>
      <c r="X9" s="52" t="e">
        <f t="shared" si="5"/>
        <v>#DIV/0!</v>
      </c>
      <c r="Y9" s="52"/>
      <c r="Z9" s="52"/>
      <c r="AA9" s="52" t="e">
        <f t="shared" si="6"/>
        <v>#DIV/0!</v>
      </c>
      <c r="AB9" s="52"/>
      <c r="AC9" s="52"/>
      <c r="AD9" s="52" t="e">
        <f t="shared" si="7"/>
        <v>#DIV/0!</v>
      </c>
      <c r="AE9" s="52"/>
      <c r="AF9" s="52"/>
      <c r="AG9" s="52" t="e">
        <f t="shared" si="8"/>
        <v>#DIV/0!</v>
      </c>
      <c r="AH9" s="52"/>
      <c r="AI9" s="52"/>
      <c r="AJ9" s="52" t="e">
        <f t="shared" si="9"/>
        <v>#DIV/0!</v>
      </c>
      <c r="AK9" s="52"/>
      <c r="AL9" s="52"/>
      <c r="AM9" s="52" t="e">
        <f t="shared" si="10"/>
        <v>#DIV/0!</v>
      </c>
      <c r="AN9" s="52"/>
      <c r="AO9" s="52"/>
      <c r="AP9" s="52" t="e">
        <f t="shared" si="11"/>
        <v>#DIV/0!</v>
      </c>
      <c r="AQ9" s="52"/>
      <c r="AR9" s="52"/>
      <c r="AS9" s="52" t="e">
        <f t="shared" si="12"/>
        <v>#DIV/0!</v>
      </c>
      <c r="AT9" s="52"/>
      <c r="AU9" s="52"/>
      <c r="AV9" s="52" t="e">
        <f t="shared" si="13"/>
        <v>#DIV/0!</v>
      </c>
      <c r="AW9" s="52"/>
      <c r="AX9" s="52"/>
      <c r="AY9" s="52" t="e">
        <f t="shared" si="14"/>
        <v>#DIV/0!</v>
      </c>
      <c r="AZ9" s="52"/>
      <c r="BA9" s="52"/>
      <c r="BB9" s="52" t="e">
        <f t="shared" si="15"/>
        <v>#DIV/0!</v>
      </c>
      <c r="BC9" s="52"/>
      <c r="BD9" s="52"/>
      <c r="BE9" s="52" t="e">
        <f t="shared" si="16"/>
        <v>#DIV/0!</v>
      </c>
      <c r="BF9" s="52"/>
      <c r="BG9" s="52"/>
      <c r="BH9" s="52" t="e">
        <f t="shared" si="17"/>
        <v>#DIV/0!</v>
      </c>
      <c r="BI9" s="52"/>
      <c r="BJ9" s="52"/>
      <c r="BK9" s="52" t="e">
        <f t="shared" si="18"/>
        <v>#DIV/0!</v>
      </c>
      <c r="BL9" s="52"/>
      <c r="BM9" s="52"/>
      <c r="BN9" s="52" t="e">
        <f t="shared" si="19"/>
        <v>#DIV/0!</v>
      </c>
      <c r="BO9" s="52">
        <f>0.5+0.75+1</f>
        <v>2.25</v>
      </c>
      <c r="BP9" s="52">
        <f>310+465+620</f>
        <v>1395</v>
      </c>
      <c r="BQ9" s="52">
        <f t="shared" si="20"/>
        <v>620</v>
      </c>
      <c r="BR9" s="52"/>
      <c r="BS9" s="52"/>
      <c r="BT9" s="52" t="e">
        <f t="shared" si="21"/>
        <v>#DIV/0!</v>
      </c>
      <c r="BU9" s="52"/>
      <c r="BV9" s="52"/>
      <c r="BW9" s="52" t="e">
        <f t="shared" si="22"/>
        <v>#DIV/0!</v>
      </c>
      <c r="BX9" s="52">
        <f>1+1</f>
        <v>2</v>
      </c>
      <c r="BY9" s="52">
        <f>661+632</f>
        <v>1293</v>
      </c>
      <c r="BZ9" s="52">
        <f t="shared" si="23"/>
        <v>646.5</v>
      </c>
      <c r="CA9" s="52"/>
      <c r="CB9" s="52"/>
      <c r="CC9" s="52" t="e">
        <f t="shared" si="24"/>
        <v>#DIV/0!</v>
      </c>
      <c r="CD9" s="33"/>
      <c r="CH9" s="59">
        <f>CF9*CG9</f>
        <v>0</v>
      </c>
      <c r="CP9" s="80">
        <f t="shared" si="27"/>
        <v>2844.5</v>
      </c>
      <c r="CR9" s="145">
        <v>0</v>
      </c>
      <c r="CS9" s="146" t="s">
        <v>315</v>
      </c>
      <c r="CT9" s="145" t="e">
        <v>#DIV/0!</v>
      </c>
      <c r="CU9" s="147">
        <v>0</v>
      </c>
      <c r="CW9" s="43">
        <f>'[4]Skolēnu Pils'!CW9+'[4]Laimīte'!CW9+'[4]Daugmale'!CW9+'[4]Altona'!CW9+'[4]Šaha'!CW9+'[4]BSKR_Rīga'!CW9</f>
        <v>0</v>
      </c>
      <c r="CX9" s="124" t="s">
        <v>315</v>
      </c>
      <c r="CY9" s="43" t="e">
        <f t="shared" si="28"/>
        <v>#DIV/0!</v>
      </c>
      <c r="CZ9" s="139">
        <f>'[4]Skolēnu Pils'!CZ9+'[4]Laimīte'!CZ9+'[4]Daugmale'!CZ9+'[4]Altona'!CZ9+'[4]Šaha'!CZ9+'[4]BSKR_Rīga'!CZ9</f>
        <v>0</v>
      </c>
      <c r="DB9" s="152">
        <v>0</v>
      </c>
      <c r="DC9" s="146" t="s">
        <v>315</v>
      </c>
      <c r="DD9" s="145" t="e">
        <v>#DIV/0!</v>
      </c>
      <c r="DE9" s="152">
        <v>0</v>
      </c>
      <c r="DG9" s="160">
        <v>4.25</v>
      </c>
      <c r="DH9" s="160" t="s">
        <v>315</v>
      </c>
      <c r="DI9" s="160">
        <v>669.2941176470588</v>
      </c>
      <c r="DJ9" s="160">
        <v>2844.5</v>
      </c>
      <c r="DL9" s="42"/>
      <c r="DM9" s="124" t="s">
        <v>315</v>
      </c>
      <c r="DN9" s="43" t="e">
        <f t="shared" si="29"/>
        <v>#DIV/0!</v>
      </c>
      <c r="DO9" s="52"/>
      <c r="DQ9" s="42"/>
      <c r="DR9" s="124" t="s">
        <v>315</v>
      </c>
      <c r="DS9" s="43" t="e">
        <f t="shared" si="30"/>
        <v>#DIV/0!</v>
      </c>
      <c r="DT9" s="52"/>
    </row>
    <row r="10" spans="1:124" ht="33">
      <c r="A10" s="3" t="s">
        <v>28</v>
      </c>
      <c r="B10" s="2" t="s">
        <v>30</v>
      </c>
      <c r="C10" s="6" t="s">
        <v>77</v>
      </c>
      <c r="D10" s="43">
        <f t="shared" si="25"/>
        <v>12.25</v>
      </c>
      <c r="E10" s="119" t="s">
        <v>309</v>
      </c>
      <c r="F10" s="43">
        <f t="shared" si="26"/>
        <v>755.1836734693877</v>
      </c>
      <c r="G10" s="59">
        <f t="shared" si="1"/>
        <v>8255.8</v>
      </c>
      <c r="J10" s="52"/>
      <c r="K10" s="52"/>
      <c r="L10" s="77" t="e">
        <f t="shared" si="0"/>
        <v>#DIV/0!</v>
      </c>
      <c r="M10" s="52"/>
      <c r="N10" s="52"/>
      <c r="O10" s="52" t="e">
        <f t="shared" si="2"/>
        <v>#DIV/0!</v>
      </c>
      <c r="P10" s="52">
        <f>1</f>
        <v>1</v>
      </c>
      <c r="Q10" s="52">
        <f>580</f>
        <v>580</v>
      </c>
      <c r="R10" s="52">
        <f t="shared" si="3"/>
        <v>580</v>
      </c>
      <c r="S10" s="52">
        <f>1</f>
        <v>1</v>
      </c>
      <c r="T10" s="52">
        <f>737</f>
        <v>737</v>
      </c>
      <c r="U10" s="52">
        <f t="shared" si="4"/>
        <v>737</v>
      </c>
      <c r="V10" s="52"/>
      <c r="W10" s="52"/>
      <c r="X10" s="52" t="e">
        <f t="shared" si="5"/>
        <v>#DIV/0!</v>
      </c>
      <c r="Y10" s="52"/>
      <c r="Z10" s="52"/>
      <c r="AA10" s="52" t="e">
        <f t="shared" si="6"/>
        <v>#DIV/0!</v>
      </c>
      <c r="AB10" s="52"/>
      <c r="AC10" s="52"/>
      <c r="AD10" s="52" t="e">
        <f t="shared" si="7"/>
        <v>#DIV/0!</v>
      </c>
      <c r="AE10" s="52"/>
      <c r="AF10" s="52"/>
      <c r="AG10" s="52" t="e">
        <f t="shared" si="8"/>
        <v>#DIV/0!</v>
      </c>
      <c r="AH10" s="52"/>
      <c r="AI10" s="52"/>
      <c r="AJ10" s="52" t="e">
        <f t="shared" si="9"/>
        <v>#DIV/0!</v>
      </c>
      <c r="AK10" s="52"/>
      <c r="AL10" s="52"/>
      <c r="AM10" s="52" t="e">
        <f t="shared" si="10"/>
        <v>#DIV/0!</v>
      </c>
      <c r="AN10" s="52"/>
      <c r="AO10" s="52"/>
      <c r="AP10" s="52" t="e">
        <f t="shared" si="11"/>
        <v>#DIV/0!</v>
      </c>
      <c r="AQ10" s="52">
        <f>1+1</f>
        <v>2</v>
      </c>
      <c r="AR10" s="52">
        <f>380+502</f>
        <v>882</v>
      </c>
      <c r="AS10" s="52">
        <f t="shared" si="12"/>
        <v>441</v>
      </c>
      <c r="AT10" s="52"/>
      <c r="AU10" s="52"/>
      <c r="AV10" s="52" t="e">
        <f t="shared" si="13"/>
        <v>#DIV/0!</v>
      </c>
      <c r="AW10" s="52"/>
      <c r="AX10" s="52"/>
      <c r="AY10" s="52" t="e">
        <f t="shared" si="14"/>
        <v>#DIV/0!</v>
      </c>
      <c r="AZ10" s="52">
        <f>0.75</f>
        <v>0.75</v>
      </c>
      <c r="BA10" s="52">
        <f>498</f>
        <v>498</v>
      </c>
      <c r="BB10" s="52">
        <f t="shared" si="15"/>
        <v>664</v>
      </c>
      <c r="BC10" s="52">
        <f>2</f>
        <v>2</v>
      </c>
      <c r="BD10" s="52">
        <f>2*770</f>
        <v>1540</v>
      </c>
      <c r="BE10" s="52">
        <f t="shared" si="16"/>
        <v>770</v>
      </c>
      <c r="BF10" s="52">
        <f>1</f>
        <v>1</v>
      </c>
      <c r="BG10" s="52">
        <f>803</f>
        <v>803</v>
      </c>
      <c r="BH10" s="52">
        <f t="shared" si="17"/>
        <v>803</v>
      </c>
      <c r="BI10" s="52"/>
      <c r="BJ10" s="52"/>
      <c r="BK10" s="52" t="e">
        <f t="shared" si="18"/>
        <v>#DIV/0!</v>
      </c>
      <c r="BL10" s="52">
        <f>1</f>
        <v>1</v>
      </c>
      <c r="BM10" s="52">
        <f>780</f>
        <v>780</v>
      </c>
      <c r="BN10" s="52">
        <f t="shared" si="19"/>
        <v>780</v>
      </c>
      <c r="BO10" s="52"/>
      <c r="BP10" s="52"/>
      <c r="BQ10" s="52" t="e">
        <f t="shared" si="20"/>
        <v>#DIV/0!</v>
      </c>
      <c r="BR10" s="52">
        <f>1</f>
        <v>1</v>
      </c>
      <c r="BS10" s="52">
        <f>700</f>
        <v>700</v>
      </c>
      <c r="BT10" s="52">
        <f t="shared" si="21"/>
        <v>700</v>
      </c>
      <c r="BU10" s="52"/>
      <c r="BV10" s="52"/>
      <c r="BW10" s="52" t="e">
        <f t="shared" si="22"/>
        <v>#DIV/0!</v>
      </c>
      <c r="BX10" s="52">
        <f>1</f>
        <v>1</v>
      </c>
      <c r="BY10" s="52">
        <f>671</f>
        <v>671</v>
      </c>
      <c r="BZ10" s="52">
        <f t="shared" si="23"/>
        <v>671</v>
      </c>
      <c r="CA10" s="52">
        <f>1+0.5</f>
        <v>1.5</v>
      </c>
      <c r="CB10" s="52">
        <f>712.8+352</f>
        <v>1064.8</v>
      </c>
      <c r="CC10" s="52">
        <f t="shared" si="24"/>
        <v>709.8666666666667</v>
      </c>
      <c r="CD10" s="33"/>
      <c r="CH10" s="59">
        <f>CF10*CG10</f>
        <v>0</v>
      </c>
      <c r="CP10" s="80">
        <f t="shared" si="27"/>
        <v>9251</v>
      </c>
      <c r="CR10" s="145">
        <v>5.5</v>
      </c>
      <c r="CS10" s="148" t="s">
        <v>309</v>
      </c>
      <c r="CT10" s="145">
        <v>733.0909090909091</v>
      </c>
      <c r="CU10" s="147">
        <v>4032</v>
      </c>
      <c r="CW10" s="43">
        <f>'[4]Skolēnu Pils'!CW10+'[4]Laimīte'!CW10+'[4]Daugmale'!CW10+'[4]Altona'!CW10+'[4]Šaha'!CW10+'[4]BSKR_Rīga'!CW10</f>
        <v>0</v>
      </c>
      <c r="CX10" s="119" t="s">
        <v>309</v>
      </c>
      <c r="CY10" s="43" t="e">
        <f t="shared" si="28"/>
        <v>#DIV/0!</v>
      </c>
      <c r="CZ10" s="139">
        <f>'[4]Skolēnu Pils'!CZ10+'[4]Laimīte'!CZ10+'[4]Daugmale'!CZ10+'[4]Altona'!CZ10+'[4]Šaha'!CZ10+'[4]BSKR_Rīga'!CZ10</f>
        <v>0</v>
      </c>
      <c r="DB10" s="152">
        <v>1.75</v>
      </c>
      <c r="DC10" s="148" t="s">
        <v>309</v>
      </c>
      <c r="DD10" s="145">
        <v>759.4285714285714</v>
      </c>
      <c r="DE10" s="152">
        <v>1329</v>
      </c>
      <c r="DG10" s="160">
        <v>5</v>
      </c>
      <c r="DH10" s="160" t="s">
        <v>309</v>
      </c>
      <c r="DI10" s="160">
        <v>778</v>
      </c>
      <c r="DJ10" s="160">
        <v>3890</v>
      </c>
      <c r="DL10" s="42"/>
      <c r="DM10" s="119" t="s">
        <v>309</v>
      </c>
      <c r="DN10" s="43" t="e">
        <f t="shared" si="29"/>
        <v>#DIV/0!</v>
      </c>
      <c r="DO10" s="52"/>
      <c r="DQ10" s="42"/>
      <c r="DR10" s="119" t="s">
        <v>309</v>
      </c>
      <c r="DS10" s="43" t="e">
        <f t="shared" si="30"/>
        <v>#DIV/0!</v>
      </c>
      <c r="DT10" s="52"/>
    </row>
    <row r="11" spans="1:124" ht="33">
      <c r="A11" s="3" t="s">
        <v>31</v>
      </c>
      <c r="B11" s="2" t="s">
        <v>32</v>
      </c>
      <c r="C11" s="6" t="s">
        <v>43</v>
      </c>
      <c r="D11" s="43">
        <f t="shared" si="25"/>
        <v>72.25</v>
      </c>
      <c r="E11" s="125" t="s">
        <v>313</v>
      </c>
      <c r="F11" s="43">
        <f t="shared" si="26"/>
        <v>432.7681660899654</v>
      </c>
      <c r="G11" s="59">
        <f t="shared" si="1"/>
        <v>30282</v>
      </c>
      <c r="J11" s="52">
        <f>3</f>
        <v>3</v>
      </c>
      <c r="K11" s="52">
        <f>3*380</f>
        <v>1140</v>
      </c>
      <c r="L11" s="77">
        <f t="shared" si="0"/>
        <v>380</v>
      </c>
      <c r="M11" s="52"/>
      <c r="N11" s="52"/>
      <c r="O11" s="52" t="e">
        <f t="shared" si="2"/>
        <v>#DIV/0!</v>
      </c>
      <c r="P11" s="52">
        <f>3+3</f>
        <v>6</v>
      </c>
      <c r="Q11" s="52">
        <f>3*395+3*395</f>
        <v>2370</v>
      </c>
      <c r="R11" s="52">
        <f t="shared" si="3"/>
        <v>395</v>
      </c>
      <c r="S11" s="52"/>
      <c r="T11" s="52"/>
      <c r="U11" s="52" t="e">
        <f t="shared" si="4"/>
        <v>#DIV/0!</v>
      </c>
      <c r="V11" s="52">
        <f>3</f>
        <v>3</v>
      </c>
      <c r="W11" s="52">
        <f>3*380</f>
        <v>1140</v>
      </c>
      <c r="X11" s="52">
        <f t="shared" si="5"/>
        <v>380</v>
      </c>
      <c r="Y11" s="52">
        <f>3</f>
        <v>3</v>
      </c>
      <c r="Z11" s="52">
        <f>3*380</f>
        <v>1140</v>
      </c>
      <c r="AA11" s="52">
        <f t="shared" si="6"/>
        <v>380</v>
      </c>
      <c r="AB11" s="52">
        <f>2+1</f>
        <v>3</v>
      </c>
      <c r="AC11" s="52">
        <f>2*395+380</f>
        <v>1170</v>
      </c>
      <c r="AD11" s="52">
        <f t="shared" si="7"/>
        <v>390</v>
      </c>
      <c r="AE11" s="52">
        <f>6</f>
        <v>6</v>
      </c>
      <c r="AF11" s="52">
        <f>6*380</f>
        <v>2280</v>
      </c>
      <c r="AG11" s="52">
        <f t="shared" si="8"/>
        <v>380</v>
      </c>
      <c r="AH11" s="52">
        <f>0.75</f>
        <v>0.75</v>
      </c>
      <c r="AI11" s="52">
        <f>285</f>
        <v>285</v>
      </c>
      <c r="AJ11" s="52">
        <f t="shared" si="9"/>
        <v>380</v>
      </c>
      <c r="AK11" s="52">
        <f>3</f>
        <v>3</v>
      </c>
      <c r="AL11" s="52">
        <f>3*380</f>
        <v>1140</v>
      </c>
      <c r="AM11" s="52">
        <f t="shared" si="10"/>
        <v>380</v>
      </c>
      <c r="AN11" s="52">
        <f>3</f>
        <v>3</v>
      </c>
      <c r="AO11" s="52">
        <f>3*380</f>
        <v>1140</v>
      </c>
      <c r="AP11" s="52">
        <f t="shared" si="11"/>
        <v>380</v>
      </c>
      <c r="AQ11" s="52">
        <f>3+3+4</f>
        <v>10</v>
      </c>
      <c r="AR11" s="52">
        <f>3*380+3*380+4*380</f>
        <v>3800</v>
      </c>
      <c r="AS11" s="52">
        <f t="shared" si="12"/>
        <v>380</v>
      </c>
      <c r="AT11" s="52">
        <f>3</f>
        <v>3</v>
      </c>
      <c r="AU11" s="52">
        <f>3*380</f>
        <v>1140</v>
      </c>
      <c r="AV11" s="52">
        <f t="shared" si="13"/>
        <v>380</v>
      </c>
      <c r="AW11" s="52"/>
      <c r="AX11" s="52"/>
      <c r="AY11" s="52" t="e">
        <f t="shared" si="14"/>
        <v>#DIV/0!</v>
      </c>
      <c r="AZ11" s="52"/>
      <c r="BA11" s="52"/>
      <c r="BB11" s="52" t="e">
        <f t="shared" si="15"/>
        <v>#DIV/0!</v>
      </c>
      <c r="BC11" s="52">
        <f>7</f>
        <v>7</v>
      </c>
      <c r="BD11" s="52">
        <f>7*395</f>
        <v>2765</v>
      </c>
      <c r="BE11" s="52">
        <f t="shared" si="16"/>
        <v>395</v>
      </c>
      <c r="BF11" s="52">
        <f>6</f>
        <v>6</v>
      </c>
      <c r="BG11" s="52">
        <f>6*380</f>
        <v>2280</v>
      </c>
      <c r="BH11" s="52">
        <f t="shared" si="17"/>
        <v>380</v>
      </c>
      <c r="BI11" s="52">
        <f>4</f>
        <v>4</v>
      </c>
      <c r="BJ11" s="52">
        <f>4*380</f>
        <v>1520</v>
      </c>
      <c r="BK11" s="52">
        <f t="shared" si="18"/>
        <v>380</v>
      </c>
      <c r="BL11" s="52"/>
      <c r="BM11" s="52"/>
      <c r="BN11" s="52" t="e">
        <f t="shared" si="19"/>
        <v>#DIV/0!</v>
      </c>
      <c r="BO11" s="52">
        <f>2+1</f>
        <v>3</v>
      </c>
      <c r="BP11" s="52">
        <f>2*394+2*197</f>
        <v>1182</v>
      </c>
      <c r="BQ11" s="52">
        <f t="shared" si="20"/>
        <v>394</v>
      </c>
      <c r="BR11" s="52"/>
      <c r="BS11" s="52"/>
      <c r="BT11" s="52" t="e">
        <f t="shared" si="21"/>
        <v>#DIV/0!</v>
      </c>
      <c r="BU11" s="52"/>
      <c r="BV11" s="52"/>
      <c r="BW11" s="52" t="e">
        <f t="shared" si="22"/>
        <v>#DIV/0!</v>
      </c>
      <c r="BX11" s="52">
        <f>7</f>
        <v>7</v>
      </c>
      <c r="BY11" s="52">
        <f>2660</f>
        <v>2660</v>
      </c>
      <c r="BZ11" s="52">
        <f t="shared" si="23"/>
        <v>380</v>
      </c>
      <c r="CA11" s="52">
        <f>2+4</f>
        <v>6</v>
      </c>
      <c r="CB11" s="52">
        <f>2*395+4*395</f>
        <v>2370</v>
      </c>
      <c r="CC11" s="52">
        <f t="shared" si="24"/>
        <v>395</v>
      </c>
      <c r="CD11" s="33"/>
      <c r="CF11" s="59">
        <v>2</v>
      </c>
      <c r="CG11" s="59">
        <f>CF11*CH11</f>
        <v>760</v>
      </c>
      <c r="CH11" s="59">
        <v>380</v>
      </c>
      <c r="CP11" s="80">
        <f t="shared" si="27"/>
        <v>31267.5</v>
      </c>
      <c r="CR11" s="145">
        <v>21.75</v>
      </c>
      <c r="CS11" s="149" t="s">
        <v>313</v>
      </c>
      <c r="CT11" s="145">
        <v>430</v>
      </c>
      <c r="CU11" s="147">
        <v>9352.5</v>
      </c>
      <c r="CW11" s="43">
        <f>'[4]Skolēnu Pils'!CW11+'[4]Laimīte'!CW11+'[4]Daugmale'!CW11+'[4]Altona'!CW11+'[4]Šaha'!CW11+'[4]BSKR_Rīga'!CW11</f>
        <v>0</v>
      </c>
      <c r="CX11" s="125" t="s">
        <v>313</v>
      </c>
      <c r="CY11" s="43" t="e">
        <f t="shared" si="28"/>
        <v>#DIV/0!</v>
      </c>
      <c r="CZ11" s="139">
        <f>'[4]Skolēnu Pils'!CZ11+'[4]Laimīte'!CZ11+'[4]Daugmale'!CZ11+'[4]Altona'!CZ11+'[4]Šaha'!CZ11+'[4]BSKR_Rīga'!CZ11</f>
        <v>0</v>
      </c>
      <c r="DB11" s="152">
        <v>28</v>
      </c>
      <c r="DC11" s="149" t="s">
        <v>313</v>
      </c>
      <c r="DD11" s="145">
        <v>431.07142857142856</v>
      </c>
      <c r="DE11" s="152">
        <v>12070</v>
      </c>
      <c r="DG11" s="160">
        <v>13</v>
      </c>
      <c r="DH11" s="160" t="s">
        <v>313</v>
      </c>
      <c r="DI11" s="160">
        <v>443.0769230769231</v>
      </c>
      <c r="DJ11" s="160">
        <v>5760</v>
      </c>
      <c r="DL11" s="42">
        <v>7.5</v>
      </c>
      <c r="DM11" s="125" t="s">
        <v>313</v>
      </c>
      <c r="DN11" s="43">
        <f t="shared" si="29"/>
        <v>430</v>
      </c>
      <c r="DO11" s="52">
        <f>430*7.5</f>
        <v>3225</v>
      </c>
      <c r="DQ11" s="42">
        <v>2</v>
      </c>
      <c r="DR11" s="125" t="s">
        <v>313</v>
      </c>
      <c r="DS11" s="43">
        <f t="shared" si="30"/>
        <v>430</v>
      </c>
      <c r="DT11" s="52">
        <f>430*2</f>
        <v>860</v>
      </c>
    </row>
    <row r="12" spans="1:124" ht="33">
      <c r="A12" s="3" t="s">
        <v>31</v>
      </c>
      <c r="B12" s="2" t="s">
        <v>30</v>
      </c>
      <c r="C12" s="6" t="s">
        <v>312</v>
      </c>
      <c r="D12" s="43">
        <f t="shared" si="25"/>
        <v>0</v>
      </c>
      <c r="E12" s="125" t="s">
        <v>309</v>
      </c>
      <c r="F12" s="43"/>
      <c r="J12" s="52"/>
      <c r="K12" s="52"/>
      <c r="L12" s="77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33"/>
      <c r="CP12" s="80">
        <f t="shared" si="27"/>
        <v>0</v>
      </c>
      <c r="CR12" s="145">
        <v>0</v>
      </c>
      <c r="CS12" s="149" t="s">
        <v>309</v>
      </c>
      <c r="CT12" s="145" t="e">
        <v>#DIV/0!</v>
      </c>
      <c r="CU12" s="147">
        <v>0</v>
      </c>
      <c r="CW12" s="43">
        <f>'[4]Skolēnu Pils'!CW12+'[4]Laimīte'!CW12+'[4]Daugmale'!CW12+'[4]Altona'!CW12+'[4]Šaha'!CW12+'[4]BSKR_Rīga'!CW12</f>
        <v>0</v>
      </c>
      <c r="CX12" s="125" t="s">
        <v>309</v>
      </c>
      <c r="CY12" s="43" t="e">
        <f t="shared" si="28"/>
        <v>#DIV/0!</v>
      </c>
      <c r="CZ12" s="139">
        <f>'[4]Skolēnu Pils'!CZ12+'[4]Laimīte'!CZ12+'[4]Daugmale'!CZ12+'[4]Altona'!CZ12+'[4]Šaha'!CZ12+'[4]BSKR_Rīga'!CZ12</f>
        <v>0</v>
      </c>
      <c r="DB12" s="152">
        <v>0</v>
      </c>
      <c r="DC12" s="149" t="s">
        <v>309</v>
      </c>
      <c r="DD12" s="145" t="e">
        <v>#DIV/0!</v>
      </c>
      <c r="DE12" s="152">
        <v>0</v>
      </c>
      <c r="DG12" s="160">
        <v>0</v>
      </c>
      <c r="DH12" s="160" t="s">
        <v>309</v>
      </c>
      <c r="DI12" s="160" t="e">
        <v>#DIV/0!</v>
      </c>
      <c r="DJ12" s="160">
        <v>0</v>
      </c>
      <c r="DL12" s="42"/>
      <c r="DM12" s="125" t="s">
        <v>309</v>
      </c>
      <c r="DN12" s="43" t="e">
        <f t="shared" si="29"/>
        <v>#DIV/0!</v>
      </c>
      <c r="DO12" s="52"/>
      <c r="DQ12" s="42"/>
      <c r="DR12" s="125" t="s">
        <v>309</v>
      </c>
      <c r="DS12" s="43" t="e">
        <f t="shared" si="30"/>
        <v>#DIV/0!</v>
      </c>
      <c r="DT12" s="52"/>
    </row>
    <row r="13" spans="1:124" ht="33">
      <c r="A13" s="3" t="s">
        <v>24</v>
      </c>
      <c r="B13" s="4" t="s">
        <v>6</v>
      </c>
      <c r="C13" s="6" t="s">
        <v>25</v>
      </c>
      <c r="D13" s="43">
        <f t="shared" si="25"/>
        <v>10.5</v>
      </c>
      <c r="E13" s="119" t="s">
        <v>309</v>
      </c>
      <c r="F13" s="43">
        <f t="shared" si="26"/>
        <v>749.2857142857143</v>
      </c>
      <c r="G13" s="59">
        <f t="shared" si="1"/>
        <v>8186.299999999999</v>
      </c>
      <c r="J13" s="52"/>
      <c r="K13" s="52"/>
      <c r="L13" s="77" t="e">
        <f t="shared" si="0"/>
        <v>#DIV/0!</v>
      </c>
      <c r="M13" s="52"/>
      <c r="N13" s="52"/>
      <c r="O13" s="52" t="e">
        <f t="shared" si="2"/>
        <v>#DIV/0!</v>
      </c>
      <c r="P13" s="52">
        <f>0.5</f>
        <v>0.5</v>
      </c>
      <c r="Q13" s="52">
        <f>310</f>
        <v>310</v>
      </c>
      <c r="R13" s="52">
        <f t="shared" si="3"/>
        <v>620</v>
      </c>
      <c r="S13" s="52"/>
      <c r="T13" s="52"/>
      <c r="U13" s="52" t="e">
        <f t="shared" si="4"/>
        <v>#DIV/0!</v>
      </c>
      <c r="V13" s="52"/>
      <c r="W13" s="52"/>
      <c r="X13" s="52" t="e">
        <f t="shared" si="5"/>
        <v>#DIV/0!</v>
      </c>
      <c r="Y13" s="52"/>
      <c r="Z13" s="52"/>
      <c r="AA13" s="52" t="e">
        <f t="shared" si="6"/>
        <v>#DIV/0!</v>
      </c>
      <c r="AB13" s="52"/>
      <c r="AC13" s="52"/>
      <c r="AD13" s="52" t="e">
        <f t="shared" si="7"/>
        <v>#DIV/0!</v>
      </c>
      <c r="AE13" s="52"/>
      <c r="AF13" s="52"/>
      <c r="AG13" s="52" t="e">
        <f t="shared" si="8"/>
        <v>#DIV/0!</v>
      </c>
      <c r="AH13" s="52"/>
      <c r="AI13" s="52"/>
      <c r="AJ13" s="52" t="e">
        <f t="shared" si="9"/>
        <v>#DIV/0!</v>
      </c>
      <c r="AK13" s="52"/>
      <c r="AL13" s="52"/>
      <c r="AM13" s="52" t="e">
        <f t="shared" si="10"/>
        <v>#DIV/0!</v>
      </c>
      <c r="AN13" s="52"/>
      <c r="AO13" s="52"/>
      <c r="AP13" s="52" t="e">
        <f t="shared" si="11"/>
        <v>#DIV/0!</v>
      </c>
      <c r="AQ13" s="52"/>
      <c r="AR13" s="52"/>
      <c r="AS13" s="52" t="e">
        <f t="shared" si="12"/>
        <v>#DIV/0!</v>
      </c>
      <c r="AT13" s="52"/>
      <c r="AU13" s="52"/>
      <c r="AV13" s="52" t="e">
        <f t="shared" si="13"/>
        <v>#DIV/0!</v>
      </c>
      <c r="AW13" s="52">
        <f>1</f>
        <v>1</v>
      </c>
      <c r="AX13" s="52">
        <f>620</f>
        <v>620</v>
      </c>
      <c r="AY13" s="52">
        <f t="shared" si="14"/>
        <v>620</v>
      </c>
      <c r="AZ13" s="52"/>
      <c r="BA13" s="52"/>
      <c r="BB13" s="52" t="e">
        <f t="shared" si="15"/>
        <v>#DIV/0!</v>
      </c>
      <c r="BC13" s="52">
        <f>0.5</f>
        <v>0.5</v>
      </c>
      <c r="BD13" s="52">
        <f>395</f>
        <v>395</v>
      </c>
      <c r="BE13" s="52">
        <f t="shared" si="16"/>
        <v>790</v>
      </c>
      <c r="BF13" s="52">
        <v>1</v>
      </c>
      <c r="BG13" s="52">
        <v>718</v>
      </c>
      <c r="BH13" s="52">
        <f t="shared" si="17"/>
        <v>718</v>
      </c>
      <c r="BI13" s="52">
        <f>1</f>
        <v>1</v>
      </c>
      <c r="BJ13" s="52">
        <f>749</f>
        <v>749</v>
      </c>
      <c r="BK13" s="52">
        <f t="shared" si="18"/>
        <v>749</v>
      </c>
      <c r="BL13" s="52"/>
      <c r="BM13" s="52"/>
      <c r="BN13" s="52" t="e">
        <f t="shared" si="19"/>
        <v>#DIV/0!</v>
      </c>
      <c r="BO13" s="52">
        <f>1</f>
        <v>1</v>
      </c>
      <c r="BP13" s="52">
        <f>665</f>
        <v>665</v>
      </c>
      <c r="BQ13" s="52">
        <f t="shared" si="20"/>
        <v>665</v>
      </c>
      <c r="BR13" s="52">
        <f>1</f>
        <v>1</v>
      </c>
      <c r="BS13" s="52">
        <f>785</f>
        <v>785</v>
      </c>
      <c r="BT13" s="52">
        <f t="shared" si="21"/>
        <v>785</v>
      </c>
      <c r="BU13" s="52">
        <f>1</f>
        <v>1</v>
      </c>
      <c r="BV13" s="52">
        <f>638</f>
        <v>638</v>
      </c>
      <c r="BW13" s="52">
        <f t="shared" si="22"/>
        <v>638</v>
      </c>
      <c r="BX13" s="52">
        <f>0.5</f>
        <v>0.5</v>
      </c>
      <c r="BY13" s="52">
        <f>401</f>
        <v>401</v>
      </c>
      <c r="BZ13" s="52">
        <f t="shared" si="23"/>
        <v>802</v>
      </c>
      <c r="CA13" s="52">
        <f>1+1+1+0.5+0.5</f>
        <v>4</v>
      </c>
      <c r="CB13" s="52">
        <f>803+712.8+630.3+401.5+357.7</f>
        <v>2905.2999999999997</v>
      </c>
      <c r="CC13" s="52">
        <f t="shared" si="24"/>
        <v>726.3249999999999</v>
      </c>
      <c r="CD13" s="33"/>
      <c r="CG13" s="59">
        <f>CF13*CH13</f>
        <v>0</v>
      </c>
      <c r="CP13" s="80">
        <f t="shared" si="27"/>
        <v>7867.5</v>
      </c>
      <c r="CR13" s="145">
        <v>3.5</v>
      </c>
      <c r="CS13" s="148" t="s">
        <v>309</v>
      </c>
      <c r="CT13" s="145">
        <v>744.5714285714286</v>
      </c>
      <c r="CU13" s="147">
        <v>2606</v>
      </c>
      <c r="CW13" s="43">
        <f>'[4]Skolēnu Pils'!CW13+'[4]Laimīte'!CW13+'[4]Daugmale'!CW13+'[4]Altona'!CW13+'[4]Šaha'!CW13+'[4]BSKR_Rīga'!CW13</f>
        <v>0</v>
      </c>
      <c r="CX13" s="119" t="s">
        <v>309</v>
      </c>
      <c r="CY13" s="43" t="e">
        <f t="shared" si="28"/>
        <v>#DIV/0!</v>
      </c>
      <c r="CZ13" s="139">
        <f>'[4]Skolēnu Pils'!CZ13+'[4]Laimīte'!CZ13+'[4]Daugmale'!CZ13+'[4]Altona'!CZ13+'[4]Šaha'!CZ13+'[4]BSKR_Rīga'!CZ13</f>
        <v>0</v>
      </c>
      <c r="DB13" s="152">
        <v>1</v>
      </c>
      <c r="DC13" s="148" t="s">
        <v>309</v>
      </c>
      <c r="DD13" s="145">
        <v>759</v>
      </c>
      <c r="DE13" s="152">
        <v>759</v>
      </c>
      <c r="DG13" s="160">
        <v>6</v>
      </c>
      <c r="DH13" s="160" t="s">
        <v>309</v>
      </c>
      <c r="DI13" s="160">
        <v>750.4166666666666</v>
      </c>
      <c r="DJ13" s="160">
        <v>4502.5</v>
      </c>
      <c r="DL13" s="42"/>
      <c r="DM13" s="119" t="s">
        <v>309</v>
      </c>
      <c r="DN13" s="43" t="e">
        <f t="shared" si="29"/>
        <v>#DIV/0!</v>
      </c>
      <c r="DO13" s="52"/>
      <c r="DQ13" s="42"/>
      <c r="DR13" s="119" t="s">
        <v>309</v>
      </c>
      <c r="DS13" s="43" t="e">
        <f t="shared" si="30"/>
        <v>#DIV/0!</v>
      </c>
      <c r="DT13" s="52"/>
    </row>
    <row r="14" spans="1:124" ht="33">
      <c r="A14" s="3" t="s">
        <v>24</v>
      </c>
      <c r="B14" s="4" t="s">
        <v>4</v>
      </c>
      <c r="C14" s="6" t="s">
        <v>319</v>
      </c>
      <c r="D14" s="43">
        <f t="shared" si="25"/>
        <v>1</v>
      </c>
      <c r="E14" s="119" t="s">
        <v>307</v>
      </c>
      <c r="F14" s="43">
        <f t="shared" si="26"/>
        <v>1095</v>
      </c>
      <c r="J14" s="52"/>
      <c r="K14" s="52"/>
      <c r="L14" s="77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33"/>
      <c r="CP14" s="80">
        <f t="shared" si="27"/>
        <v>1095</v>
      </c>
      <c r="CR14" s="145">
        <v>1</v>
      </c>
      <c r="CS14" s="148" t="s">
        <v>307</v>
      </c>
      <c r="CT14" s="145">
        <v>1095</v>
      </c>
      <c r="CU14" s="147">
        <v>1095</v>
      </c>
      <c r="CW14" s="43">
        <f>'[4]Skolēnu Pils'!CW14+'[4]Laimīte'!CW14+'[4]Daugmale'!CW14+'[4]Altona'!CW14+'[4]Šaha'!CW14+'[4]BSKR_Rīga'!CW14</f>
        <v>0</v>
      </c>
      <c r="CX14" s="119" t="s">
        <v>307</v>
      </c>
      <c r="CY14" s="43" t="e">
        <f t="shared" si="28"/>
        <v>#DIV/0!</v>
      </c>
      <c r="CZ14" s="139">
        <f>'[4]Skolēnu Pils'!CZ14+'[4]Laimīte'!CZ14+'[4]Daugmale'!CZ14+'[4]Altona'!CZ14+'[4]Šaha'!CZ14+'[4]BSKR_Rīga'!CZ14</f>
        <v>0</v>
      </c>
      <c r="DB14" s="152">
        <v>0</v>
      </c>
      <c r="DC14" s="148" t="s">
        <v>307</v>
      </c>
      <c r="DD14" s="145" t="e">
        <v>#DIV/0!</v>
      </c>
      <c r="DE14" s="152">
        <v>0</v>
      </c>
      <c r="DG14" s="160">
        <v>0</v>
      </c>
      <c r="DH14" s="160" t="s">
        <v>307</v>
      </c>
      <c r="DI14" s="160" t="e">
        <v>#DIV/0!</v>
      </c>
      <c r="DJ14" s="160">
        <v>0</v>
      </c>
      <c r="DL14" s="42"/>
      <c r="DM14" s="119" t="s">
        <v>307</v>
      </c>
      <c r="DN14" s="43" t="e">
        <f t="shared" si="29"/>
        <v>#DIV/0!</v>
      </c>
      <c r="DO14" s="52"/>
      <c r="DQ14" s="42"/>
      <c r="DR14" s="119" t="s">
        <v>307</v>
      </c>
      <c r="DS14" s="43" t="e">
        <f t="shared" si="30"/>
        <v>#DIV/0!</v>
      </c>
      <c r="DT14" s="52"/>
    </row>
    <row r="15" spans="1:124" ht="33">
      <c r="A15" s="5" t="s">
        <v>11</v>
      </c>
      <c r="B15" s="5" t="s">
        <v>4</v>
      </c>
      <c r="C15" s="7" t="s">
        <v>18</v>
      </c>
      <c r="D15" s="43">
        <f t="shared" si="25"/>
        <v>0</v>
      </c>
      <c r="E15" s="125" t="s">
        <v>315</v>
      </c>
      <c r="F15" s="43"/>
      <c r="G15" s="59">
        <f t="shared" si="1"/>
        <v>0</v>
      </c>
      <c r="J15" s="52"/>
      <c r="K15" s="52"/>
      <c r="L15" s="77" t="e">
        <f t="shared" si="0"/>
        <v>#DIV/0!</v>
      </c>
      <c r="M15" s="52"/>
      <c r="N15" s="52"/>
      <c r="O15" s="52" t="e">
        <f t="shared" si="2"/>
        <v>#DIV/0!</v>
      </c>
      <c r="P15" s="52"/>
      <c r="Q15" s="52"/>
      <c r="R15" s="52" t="e">
        <f t="shared" si="3"/>
        <v>#DIV/0!</v>
      </c>
      <c r="S15" s="52"/>
      <c r="T15" s="52"/>
      <c r="U15" s="52" t="e">
        <f t="shared" si="4"/>
        <v>#DIV/0!</v>
      </c>
      <c r="V15" s="52"/>
      <c r="W15" s="52"/>
      <c r="X15" s="52" t="e">
        <f t="shared" si="5"/>
        <v>#DIV/0!</v>
      </c>
      <c r="Y15" s="52"/>
      <c r="Z15" s="52"/>
      <c r="AA15" s="52" t="e">
        <f t="shared" si="6"/>
        <v>#DIV/0!</v>
      </c>
      <c r="AB15" s="52"/>
      <c r="AC15" s="52"/>
      <c r="AD15" s="52" t="e">
        <f t="shared" si="7"/>
        <v>#DIV/0!</v>
      </c>
      <c r="AE15" s="52"/>
      <c r="AF15" s="52"/>
      <c r="AG15" s="52" t="e">
        <f t="shared" si="8"/>
        <v>#DIV/0!</v>
      </c>
      <c r="AH15" s="52"/>
      <c r="AI15" s="52"/>
      <c r="AJ15" s="52" t="e">
        <f t="shared" si="9"/>
        <v>#DIV/0!</v>
      </c>
      <c r="AK15" s="52"/>
      <c r="AL15" s="52"/>
      <c r="AM15" s="52" t="e">
        <f t="shared" si="10"/>
        <v>#DIV/0!</v>
      </c>
      <c r="AN15" s="52"/>
      <c r="AO15" s="52"/>
      <c r="AP15" s="52" t="e">
        <f t="shared" si="11"/>
        <v>#DIV/0!</v>
      </c>
      <c r="AQ15" s="52"/>
      <c r="AR15" s="52"/>
      <c r="AS15" s="52" t="e">
        <f t="shared" si="12"/>
        <v>#DIV/0!</v>
      </c>
      <c r="AT15" s="52"/>
      <c r="AU15" s="52"/>
      <c r="AV15" s="52" t="e">
        <f t="shared" si="13"/>
        <v>#DIV/0!</v>
      </c>
      <c r="AW15" s="52"/>
      <c r="AX15" s="52"/>
      <c r="AY15" s="52" t="e">
        <f t="shared" si="14"/>
        <v>#DIV/0!</v>
      </c>
      <c r="AZ15" s="52"/>
      <c r="BA15" s="52"/>
      <c r="BB15" s="52" t="e">
        <f t="shared" si="15"/>
        <v>#DIV/0!</v>
      </c>
      <c r="BC15" s="52"/>
      <c r="BD15" s="52"/>
      <c r="BE15" s="52" t="e">
        <f t="shared" si="16"/>
        <v>#DIV/0!</v>
      </c>
      <c r="BF15" s="52"/>
      <c r="BG15" s="52"/>
      <c r="BH15" s="52" t="e">
        <f t="shared" si="17"/>
        <v>#DIV/0!</v>
      </c>
      <c r="BI15" s="52"/>
      <c r="BJ15" s="52"/>
      <c r="BK15" s="52" t="e">
        <f t="shared" si="18"/>
        <v>#DIV/0!</v>
      </c>
      <c r="BL15" s="52"/>
      <c r="BM15" s="52"/>
      <c r="BN15" s="52" t="e">
        <f t="shared" si="19"/>
        <v>#DIV/0!</v>
      </c>
      <c r="BO15" s="52"/>
      <c r="BP15" s="52"/>
      <c r="BQ15" s="52" t="e">
        <f t="shared" si="20"/>
        <v>#DIV/0!</v>
      </c>
      <c r="BR15" s="52"/>
      <c r="BS15" s="52"/>
      <c r="BT15" s="52" t="e">
        <f t="shared" si="21"/>
        <v>#DIV/0!</v>
      </c>
      <c r="BU15" s="52"/>
      <c r="BV15" s="52"/>
      <c r="BW15" s="52" t="e">
        <f t="shared" si="22"/>
        <v>#DIV/0!</v>
      </c>
      <c r="BX15" s="52"/>
      <c r="BY15" s="52"/>
      <c r="BZ15" s="52" t="e">
        <f t="shared" si="23"/>
        <v>#DIV/0!</v>
      </c>
      <c r="CA15" s="52"/>
      <c r="CB15" s="52"/>
      <c r="CC15" s="52" t="e">
        <f t="shared" si="24"/>
        <v>#DIV/0!</v>
      </c>
      <c r="CD15" s="33"/>
      <c r="CG15" s="59">
        <f>CF15*CH15</f>
        <v>0</v>
      </c>
      <c r="CP15" s="80">
        <f t="shared" si="27"/>
        <v>0</v>
      </c>
      <c r="CR15" s="145">
        <v>0</v>
      </c>
      <c r="CS15" s="149" t="s">
        <v>315</v>
      </c>
      <c r="CT15" s="145" t="e">
        <v>#DIV/0!</v>
      </c>
      <c r="CU15" s="147">
        <v>0</v>
      </c>
      <c r="CW15" s="43">
        <f>'[4]Skolēnu Pils'!CW15+'[4]Laimīte'!CW15+'[4]Daugmale'!CW15+'[4]Altona'!CW15+'[4]Šaha'!CW15+'[4]BSKR_Rīga'!CW15</f>
        <v>0</v>
      </c>
      <c r="CX15" s="125" t="s">
        <v>315</v>
      </c>
      <c r="CY15" s="43" t="e">
        <f t="shared" si="28"/>
        <v>#DIV/0!</v>
      </c>
      <c r="CZ15" s="139">
        <f>'[4]Skolēnu Pils'!CZ15+'[4]Laimīte'!CZ15+'[4]Daugmale'!CZ15+'[4]Altona'!CZ15+'[4]Šaha'!CZ15+'[4]BSKR_Rīga'!CZ15</f>
        <v>0</v>
      </c>
      <c r="DB15" s="152">
        <v>0</v>
      </c>
      <c r="DC15" s="149" t="s">
        <v>315</v>
      </c>
      <c r="DD15" s="145" t="e">
        <v>#DIV/0!</v>
      </c>
      <c r="DE15" s="152">
        <v>0</v>
      </c>
      <c r="DG15" s="160">
        <v>0</v>
      </c>
      <c r="DH15" s="160" t="s">
        <v>315</v>
      </c>
      <c r="DI15" s="160" t="e">
        <v>#DIV/0!</v>
      </c>
      <c r="DJ15" s="160">
        <v>0</v>
      </c>
      <c r="DL15" s="42"/>
      <c r="DM15" s="125" t="s">
        <v>315</v>
      </c>
      <c r="DN15" s="43" t="e">
        <f t="shared" si="29"/>
        <v>#DIV/0!</v>
      </c>
      <c r="DO15" s="52"/>
      <c r="DQ15" s="42"/>
      <c r="DR15" s="125" t="s">
        <v>315</v>
      </c>
      <c r="DS15" s="43" t="e">
        <f t="shared" si="30"/>
        <v>#DIV/0!</v>
      </c>
      <c r="DT15" s="52"/>
    </row>
    <row r="16" spans="1:124" ht="33">
      <c r="A16" s="3" t="s">
        <v>11</v>
      </c>
      <c r="B16" s="4" t="s">
        <v>4</v>
      </c>
      <c r="C16" s="6" t="s">
        <v>63</v>
      </c>
      <c r="D16" s="43">
        <f t="shared" si="25"/>
        <v>27.2</v>
      </c>
      <c r="E16" s="119" t="s">
        <v>315</v>
      </c>
      <c r="F16" s="43">
        <f t="shared" si="26"/>
        <v>608.3823529411765</v>
      </c>
      <c r="G16" s="59">
        <f t="shared" si="1"/>
        <v>14314.7</v>
      </c>
      <c r="J16" s="52">
        <f>0.5</f>
        <v>0.5</v>
      </c>
      <c r="K16" s="52">
        <f>274</f>
        <v>274</v>
      </c>
      <c r="L16" s="77">
        <f t="shared" si="0"/>
        <v>548</v>
      </c>
      <c r="M16" s="52"/>
      <c r="N16" s="52"/>
      <c r="O16" s="52" t="e">
        <f t="shared" si="2"/>
        <v>#DIV/0!</v>
      </c>
      <c r="P16" s="52">
        <f>0.5+0.5+1</f>
        <v>2</v>
      </c>
      <c r="Q16" s="52">
        <f>270+240+540</f>
        <v>1050</v>
      </c>
      <c r="R16" s="52">
        <f t="shared" si="3"/>
        <v>525</v>
      </c>
      <c r="S16" s="52">
        <f>0.5</f>
        <v>0.5</v>
      </c>
      <c r="T16" s="52">
        <f>278</f>
        <v>278</v>
      </c>
      <c r="U16" s="52">
        <f t="shared" si="4"/>
        <v>556</v>
      </c>
      <c r="V16" s="52">
        <f>2+0.5</f>
        <v>2.5</v>
      </c>
      <c r="W16" s="52">
        <f>560+560+225</f>
        <v>1345</v>
      </c>
      <c r="X16" s="52">
        <f t="shared" si="5"/>
        <v>538</v>
      </c>
      <c r="Y16" s="52">
        <f>1</f>
        <v>1</v>
      </c>
      <c r="Z16" s="52">
        <f>613</f>
        <v>613</v>
      </c>
      <c r="AA16" s="52">
        <f t="shared" si="6"/>
        <v>613</v>
      </c>
      <c r="AB16" s="52">
        <f>0.7</f>
        <v>0.7</v>
      </c>
      <c r="AC16" s="52">
        <f>425</f>
        <v>425</v>
      </c>
      <c r="AD16" s="52">
        <f t="shared" si="7"/>
        <v>607.1428571428572</v>
      </c>
      <c r="AE16" s="52">
        <f>1</f>
        <v>1</v>
      </c>
      <c r="AF16" s="52">
        <f>405</f>
        <v>405</v>
      </c>
      <c r="AG16" s="52">
        <f t="shared" si="8"/>
        <v>405</v>
      </c>
      <c r="AH16" s="52">
        <f>0.5</f>
        <v>0.5</v>
      </c>
      <c r="AI16" s="52">
        <f>264</f>
        <v>264</v>
      </c>
      <c r="AJ16" s="52">
        <f t="shared" si="9"/>
        <v>528</v>
      </c>
      <c r="AK16" s="52">
        <f>1</f>
        <v>1</v>
      </c>
      <c r="AL16" s="52">
        <f>495</f>
        <v>495</v>
      </c>
      <c r="AM16" s="52">
        <f t="shared" si="10"/>
        <v>495</v>
      </c>
      <c r="AN16" s="52"/>
      <c r="AO16" s="52"/>
      <c r="AP16" s="52" t="e">
        <f t="shared" si="11"/>
        <v>#DIV/0!</v>
      </c>
      <c r="AQ16" s="52">
        <f>0.5+0.4</f>
        <v>0.9</v>
      </c>
      <c r="AR16" s="52">
        <f>242+175</f>
        <v>417</v>
      </c>
      <c r="AS16" s="52">
        <f t="shared" si="12"/>
        <v>463.3333333333333</v>
      </c>
      <c r="AT16" s="52">
        <f>1</f>
        <v>1</v>
      </c>
      <c r="AU16" s="52">
        <f>380</f>
        <v>380</v>
      </c>
      <c r="AV16" s="52">
        <f t="shared" si="13"/>
        <v>380</v>
      </c>
      <c r="AW16" s="52"/>
      <c r="AX16" s="52"/>
      <c r="AY16" s="52" t="e">
        <f t="shared" si="14"/>
        <v>#DIV/0!</v>
      </c>
      <c r="AZ16" s="52">
        <f>1</f>
        <v>1</v>
      </c>
      <c r="BA16" s="52">
        <f>484</f>
        <v>484</v>
      </c>
      <c r="BB16" s="52">
        <f t="shared" si="15"/>
        <v>484</v>
      </c>
      <c r="BC16" s="52">
        <f>0.5</f>
        <v>0.5</v>
      </c>
      <c r="BD16" s="52">
        <f>230</f>
        <v>230</v>
      </c>
      <c r="BE16" s="52">
        <f t="shared" si="16"/>
        <v>460</v>
      </c>
      <c r="BF16" s="52">
        <f>1</f>
        <v>1</v>
      </c>
      <c r="BG16" s="52">
        <f>661</f>
        <v>661</v>
      </c>
      <c r="BH16" s="52">
        <f t="shared" si="17"/>
        <v>661</v>
      </c>
      <c r="BI16" s="52"/>
      <c r="BJ16" s="52"/>
      <c r="BK16" s="52" t="e">
        <f t="shared" si="18"/>
        <v>#DIV/0!</v>
      </c>
      <c r="BL16" s="52">
        <f>0.5</f>
        <v>0.5</v>
      </c>
      <c r="BM16" s="52">
        <f>274</f>
        <v>274</v>
      </c>
      <c r="BN16" s="52">
        <f t="shared" si="19"/>
        <v>548</v>
      </c>
      <c r="BO16" s="52">
        <f>1</f>
        <v>1</v>
      </c>
      <c r="BP16" s="52">
        <f>530</f>
        <v>530</v>
      </c>
      <c r="BQ16" s="52">
        <f t="shared" si="20"/>
        <v>530</v>
      </c>
      <c r="BR16" s="52">
        <v>1</v>
      </c>
      <c r="BS16" s="52">
        <f>645</f>
        <v>645</v>
      </c>
      <c r="BT16" s="52">
        <f t="shared" si="21"/>
        <v>645</v>
      </c>
      <c r="BU16" s="52">
        <f>1</f>
        <v>1</v>
      </c>
      <c r="BV16" s="52">
        <f>516</f>
        <v>516</v>
      </c>
      <c r="BW16" s="52">
        <f t="shared" si="22"/>
        <v>516</v>
      </c>
      <c r="BX16" s="52">
        <f>2</f>
        <v>2</v>
      </c>
      <c r="BY16" s="52">
        <f>2*661</f>
        <v>1322</v>
      </c>
      <c r="BZ16" s="52">
        <f t="shared" si="23"/>
        <v>661</v>
      </c>
      <c r="CA16" s="52">
        <f>3+2+1</f>
        <v>6</v>
      </c>
      <c r="CB16" s="52">
        <f>661+602.8+588.5+2*661+532.4</f>
        <v>3706.7000000000003</v>
      </c>
      <c r="CC16" s="52">
        <f t="shared" si="24"/>
        <v>617.7833333333334</v>
      </c>
      <c r="CD16" s="33"/>
      <c r="CH16" s="59">
        <f>CF16*CG16</f>
        <v>0</v>
      </c>
      <c r="CP16" s="80">
        <f t="shared" si="27"/>
        <v>16548</v>
      </c>
      <c r="CR16" s="145">
        <v>10.5</v>
      </c>
      <c r="CS16" s="148" t="s">
        <v>315</v>
      </c>
      <c r="CT16" s="145">
        <v>632.952380952381</v>
      </c>
      <c r="CU16" s="147">
        <v>6646</v>
      </c>
      <c r="CW16" s="43">
        <f>'[4]Skolēnu Pils'!CW16+'[4]Laimīte'!CW16+'[4]Daugmale'!CW16+'[4]Altona'!CW16+'[4]Šaha'!CW16+'[4]BSKR_Rīga'!CW16</f>
        <v>0</v>
      </c>
      <c r="CX16" s="119" t="s">
        <v>315</v>
      </c>
      <c r="CY16" s="43" t="e">
        <f t="shared" si="28"/>
        <v>#DIV/0!</v>
      </c>
      <c r="CZ16" s="139">
        <f>'[4]Skolēnu Pils'!CZ16+'[4]Laimīte'!CZ16+'[4]Daugmale'!CZ16+'[4]Altona'!CZ16+'[4]Šaha'!CZ16+'[4]BSKR_Rīga'!CZ16</f>
        <v>0</v>
      </c>
      <c r="DB16" s="152">
        <v>9.7</v>
      </c>
      <c r="DC16" s="148" t="s">
        <v>315</v>
      </c>
      <c r="DD16" s="145">
        <v>554.9484536082475</v>
      </c>
      <c r="DE16" s="152">
        <v>5383</v>
      </c>
      <c r="DG16" s="160">
        <v>7</v>
      </c>
      <c r="DH16" s="160" t="s">
        <v>315</v>
      </c>
      <c r="DI16" s="160">
        <v>645.5714285714286</v>
      </c>
      <c r="DJ16" s="160">
        <v>4519</v>
      </c>
      <c r="DL16" s="42"/>
      <c r="DM16" s="119" t="s">
        <v>315</v>
      </c>
      <c r="DN16" s="43" t="e">
        <f t="shared" si="29"/>
        <v>#DIV/0!</v>
      </c>
      <c r="DO16" s="52"/>
      <c r="DQ16" s="42"/>
      <c r="DR16" s="119" t="s">
        <v>315</v>
      </c>
      <c r="DS16" s="43" t="e">
        <f t="shared" si="30"/>
        <v>#DIV/0!</v>
      </c>
      <c r="DT16" s="52"/>
    </row>
    <row r="17" spans="1:124" ht="17.25">
      <c r="A17" s="3" t="s">
        <v>11</v>
      </c>
      <c r="B17" s="4" t="s">
        <v>32</v>
      </c>
      <c r="C17" s="6" t="s">
        <v>61</v>
      </c>
      <c r="D17" s="43">
        <f t="shared" si="25"/>
        <v>1</v>
      </c>
      <c r="E17" s="124" t="s">
        <v>314</v>
      </c>
      <c r="F17" s="43">
        <f t="shared" si="26"/>
        <v>610</v>
      </c>
      <c r="G17" s="59">
        <f t="shared" si="1"/>
        <v>502</v>
      </c>
      <c r="J17" s="52"/>
      <c r="K17" s="52"/>
      <c r="L17" s="77" t="e">
        <f t="shared" si="0"/>
        <v>#DIV/0!</v>
      </c>
      <c r="M17" s="52"/>
      <c r="N17" s="52"/>
      <c r="O17" s="52" t="e">
        <f t="shared" si="2"/>
        <v>#DIV/0!</v>
      </c>
      <c r="P17" s="52"/>
      <c r="Q17" s="52"/>
      <c r="R17" s="52" t="e">
        <f t="shared" si="3"/>
        <v>#DIV/0!</v>
      </c>
      <c r="S17" s="52"/>
      <c r="T17" s="52"/>
      <c r="U17" s="52" t="e">
        <f t="shared" si="4"/>
        <v>#DIV/0!</v>
      </c>
      <c r="V17" s="52"/>
      <c r="W17" s="52"/>
      <c r="X17" s="52" t="e">
        <f t="shared" si="5"/>
        <v>#DIV/0!</v>
      </c>
      <c r="Y17" s="52"/>
      <c r="Z17" s="52"/>
      <c r="AA17" s="52" t="e">
        <f t="shared" si="6"/>
        <v>#DIV/0!</v>
      </c>
      <c r="AB17" s="52"/>
      <c r="AC17" s="52"/>
      <c r="AD17" s="52" t="e">
        <f t="shared" si="7"/>
        <v>#DIV/0!</v>
      </c>
      <c r="AE17" s="52"/>
      <c r="AF17" s="52"/>
      <c r="AG17" s="52" t="e">
        <f t="shared" si="8"/>
        <v>#DIV/0!</v>
      </c>
      <c r="AH17" s="52"/>
      <c r="AI17" s="52"/>
      <c r="AJ17" s="52" t="e">
        <f t="shared" si="9"/>
        <v>#DIV/0!</v>
      </c>
      <c r="AK17" s="52"/>
      <c r="AL17" s="52"/>
      <c r="AM17" s="52" t="e">
        <f t="shared" si="10"/>
        <v>#DIV/0!</v>
      </c>
      <c r="AN17" s="52"/>
      <c r="AO17" s="52"/>
      <c r="AP17" s="52" t="e">
        <f t="shared" si="11"/>
        <v>#DIV/0!</v>
      </c>
      <c r="AQ17" s="52"/>
      <c r="AR17" s="52"/>
      <c r="AS17" s="52" t="e">
        <f t="shared" si="12"/>
        <v>#DIV/0!</v>
      </c>
      <c r="AT17" s="52"/>
      <c r="AU17" s="52"/>
      <c r="AV17" s="52" t="e">
        <f t="shared" si="13"/>
        <v>#DIV/0!</v>
      </c>
      <c r="AW17" s="52"/>
      <c r="AX17" s="52"/>
      <c r="AY17" s="52" t="e">
        <f t="shared" si="14"/>
        <v>#DIV/0!</v>
      </c>
      <c r="AZ17" s="52"/>
      <c r="BA17" s="52"/>
      <c r="BB17" s="52" t="e">
        <f t="shared" si="15"/>
        <v>#DIV/0!</v>
      </c>
      <c r="BC17" s="52"/>
      <c r="BD17" s="52"/>
      <c r="BE17" s="52" t="e">
        <f t="shared" si="16"/>
        <v>#DIV/0!</v>
      </c>
      <c r="BF17" s="52">
        <f>1</f>
        <v>1</v>
      </c>
      <c r="BG17" s="52">
        <f>502</f>
        <v>502</v>
      </c>
      <c r="BH17" s="52">
        <f t="shared" si="17"/>
        <v>502</v>
      </c>
      <c r="BI17" s="52"/>
      <c r="BJ17" s="52"/>
      <c r="BK17" s="52" t="e">
        <f t="shared" si="18"/>
        <v>#DIV/0!</v>
      </c>
      <c r="BL17" s="52"/>
      <c r="BM17" s="52"/>
      <c r="BN17" s="52" t="e">
        <f t="shared" si="19"/>
        <v>#DIV/0!</v>
      </c>
      <c r="BO17" s="52"/>
      <c r="BP17" s="52"/>
      <c r="BQ17" s="52" t="e">
        <f t="shared" si="20"/>
        <v>#DIV/0!</v>
      </c>
      <c r="BR17" s="52"/>
      <c r="BS17" s="52"/>
      <c r="BT17" s="52" t="e">
        <f t="shared" si="21"/>
        <v>#DIV/0!</v>
      </c>
      <c r="BU17" s="52"/>
      <c r="BV17" s="52"/>
      <c r="BW17" s="52" t="e">
        <f t="shared" si="22"/>
        <v>#DIV/0!</v>
      </c>
      <c r="BX17" s="52"/>
      <c r="BY17" s="52"/>
      <c r="BZ17" s="52" t="e">
        <f t="shared" si="23"/>
        <v>#DIV/0!</v>
      </c>
      <c r="CA17" s="52"/>
      <c r="CB17" s="52"/>
      <c r="CC17" s="52" t="e">
        <f t="shared" si="24"/>
        <v>#DIV/0!</v>
      </c>
      <c r="CD17" s="33"/>
      <c r="CH17" s="59">
        <f>CF17*CG17</f>
        <v>0</v>
      </c>
      <c r="CP17" s="80">
        <f t="shared" si="27"/>
        <v>610</v>
      </c>
      <c r="CR17" s="145">
        <v>0</v>
      </c>
      <c r="CS17" s="146" t="s">
        <v>314</v>
      </c>
      <c r="CT17" s="145" t="e">
        <v>#DIV/0!</v>
      </c>
      <c r="CU17" s="147">
        <v>0</v>
      </c>
      <c r="CW17" s="43">
        <f>'[4]Skolēnu Pils'!CW17+'[4]Laimīte'!CW17+'[4]Daugmale'!CW17+'[4]Altona'!CW17+'[4]Šaha'!CW17+'[4]BSKR_Rīga'!CW17</f>
        <v>0</v>
      </c>
      <c r="CX17" s="124" t="s">
        <v>314</v>
      </c>
      <c r="CY17" s="43" t="e">
        <f t="shared" si="28"/>
        <v>#DIV/0!</v>
      </c>
      <c r="CZ17" s="139">
        <f>'[4]Skolēnu Pils'!CZ17+'[4]Laimīte'!CZ17+'[4]Daugmale'!CZ17+'[4]Altona'!CZ17+'[4]Šaha'!CZ17+'[4]BSKR_Rīga'!CZ17</f>
        <v>0</v>
      </c>
      <c r="DB17" s="152">
        <v>0</v>
      </c>
      <c r="DC17" s="146" t="s">
        <v>314</v>
      </c>
      <c r="DD17" s="145" t="e">
        <v>#DIV/0!</v>
      </c>
      <c r="DE17" s="152">
        <v>0</v>
      </c>
      <c r="DG17" s="160">
        <v>1</v>
      </c>
      <c r="DH17" s="160" t="s">
        <v>314</v>
      </c>
      <c r="DI17" s="160">
        <v>610</v>
      </c>
      <c r="DJ17" s="160">
        <v>610</v>
      </c>
      <c r="DL17" s="42"/>
      <c r="DM17" s="124" t="s">
        <v>314</v>
      </c>
      <c r="DN17" s="43" t="e">
        <f t="shared" si="29"/>
        <v>#DIV/0!</v>
      </c>
      <c r="DO17" s="52"/>
      <c r="DQ17" s="42"/>
      <c r="DR17" s="124" t="s">
        <v>314</v>
      </c>
      <c r="DS17" s="43" t="e">
        <f t="shared" si="30"/>
        <v>#DIV/0!</v>
      </c>
      <c r="DT17" s="52"/>
    </row>
    <row r="18" spans="1:124" ht="33">
      <c r="A18" s="8" t="s">
        <v>26</v>
      </c>
      <c r="B18" s="8" t="s">
        <v>4</v>
      </c>
      <c r="C18" s="6" t="s">
        <v>34</v>
      </c>
      <c r="D18" s="43">
        <f t="shared" si="25"/>
        <v>0</v>
      </c>
      <c r="E18" s="119" t="s">
        <v>309</v>
      </c>
      <c r="F18" s="43"/>
      <c r="G18" s="59">
        <f t="shared" si="1"/>
        <v>1099</v>
      </c>
      <c r="J18" s="52"/>
      <c r="K18" s="52"/>
      <c r="L18" s="77" t="e">
        <f t="shared" si="0"/>
        <v>#DIV/0!</v>
      </c>
      <c r="M18" s="52"/>
      <c r="N18" s="52"/>
      <c r="O18" s="52" t="e">
        <f t="shared" si="2"/>
        <v>#DIV/0!</v>
      </c>
      <c r="P18" s="52"/>
      <c r="Q18" s="52"/>
      <c r="R18" s="52" t="e">
        <f t="shared" si="3"/>
        <v>#DIV/0!</v>
      </c>
      <c r="S18" s="52"/>
      <c r="T18" s="18"/>
      <c r="U18" s="52" t="e">
        <f t="shared" si="4"/>
        <v>#DIV/0!</v>
      </c>
      <c r="V18" s="18"/>
      <c r="W18" s="52"/>
      <c r="X18" s="52" t="e">
        <f t="shared" si="5"/>
        <v>#DIV/0!</v>
      </c>
      <c r="Y18" s="52"/>
      <c r="Z18" s="52"/>
      <c r="AA18" s="52" t="e">
        <f t="shared" si="6"/>
        <v>#DIV/0!</v>
      </c>
      <c r="AB18" s="52"/>
      <c r="AC18" s="52"/>
      <c r="AD18" s="52" t="e">
        <f t="shared" si="7"/>
        <v>#DIV/0!</v>
      </c>
      <c r="AE18" s="52"/>
      <c r="AF18" s="52"/>
      <c r="AG18" s="52" t="e">
        <f t="shared" si="8"/>
        <v>#DIV/0!</v>
      </c>
      <c r="AH18" s="52"/>
      <c r="AI18" s="52"/>
      <c r="AJ18" s="52" t="e">
        <f t="shared" si="9"/>
        <v>#DIV/0!</v>
      </c>
      <c r="AK18" s="52"/>
      <c r="AL18" s="52"/>
      <c r="AM18" s="52" t="e">
        <f t="shared" si="10"/>
        <v>#DIV/0!</v>
      </c>
      <c r="AN18" s="52"/>
      <c r="AO18" s="52"/>
      <c r="AP18" s="52" t="e">
        <f t="shared" si="11"/>
        <v>#DIV/0!</v>
      </c>
      <c r="AQ18" s="52"/>
      <c r="AR18" s="52"/>
      <c r="AS18" s="52" t="e">
        <f t="shared" si="12"/>
        <v>#DIV/0!</v>
      </c>
      <c r="AT18" s="52"/>
      <c r="AU18" s="52"/>
      <c r="AV18" s="52" t="e">
        <f t="shared" si="13"/>
        <v>#DIV/0!</v>
      </c>
      <c r="AW18" s="52"/>
      <c r="AX18" s="52"/>
      <c r="AY18" s="52" t="e">
        <f t="shared" si="14"/>
        <v>#DIV/0!</v>
      </c>
      <c r="AZ18" s="52"/>
      <c r="BA18" s="52"/>
      <c r="BB18" s="52" t="e">
        <f t="shared" si="15"/>
        <v>#DIV/0!</v>
      </c>
      <c r="BC18" s="52"/>
      <c r="BD18" s="52"/>
      <c r="BE18" s="52" t="e">
        <f t="shared" si="16"/>
        <v>#DIV/0!</v>
      </c>
      <c r="BF18" s="52">
        <f>1</f>
        <v>1</v>
      </c>
      <c r="BG18" s="52">
        <f>803</f>
        <v>803</v>
      </c>
      <c r="BH18" s="52">
        <f t="shared" si="17"/>
        <v>803</v>
      </c>
      <c r="BI18" s="52"/>
      <c r="BJ18" s="52"/>
      <c r="BK18" s="52" t="e">
        <f t="shared" si="18"/>
        <v>#DIV/0!</v>
      </c>
      <c r="BL18" s="52"/>
      <c r="BM18" s="52"/>
      <c r="BN18" s="52" t="e">
        <f t="shared" si="19"/>
        <v>#DIV/0!</v>
      </c>
      <c r="BO18" s="52"/>
      <c r="BP18" s="52"/>
      <c r="BQ18" s="52" t="e">
        <f t="shared" si="20"/>
        <v>#DIV/0!</v>
      </c>
      <c r="BR18" s="52"/>
      <c r="BS18" s="52"/>
      <c r="BT18" s="52" t="e">
        <f t="shared" si="21"/>
        <v>#DIV/0!</v>
      </c>
      <c r="BU18" s="52"/>
      <c r="BV18" s="52"/>
      <c r="BW18" s="52" t="e">
        <f t="shared" si="22"/>
        <v>#DIV/0!</v>
      </c>
      <c r="BX18" s="52">
        <f>0.5</f>
        <v>0.5</v>
      </c>
      <c r="BY18" s="52">
        <f>296</f>
        <v>296</v>
      </c>
      <c r="BZ18" s="52">
        <f t="shared" si="23"/>
        <v>592</v>
      </c>
      <c r="CA18" s="52"/>
      <c r="CB18" s="52"/>
      <c r="CC18" s="52" t="e">
        <f t="shared" si="24"/>
        <v>#DIV/0!</v>
      </c>
      <c r="CD18" s="33"/>
      <c r="CG18" s="59">
        <f>CF18*CH18</f>
        <v>0</v>
      </c>
      <c r="CP18" s="80">
        <f t="shared" si="27"/>
        <v>0</v>
      </c>
      <c r="CR18" s="145">
        <v>0</v>
      </c>
      <c r="CS18" s="148" t="s">
        <v>309</v>
      </c>
      <c r="CT18" s="145" t="e">
        <v>#DIV/0!</v>
      </c>
      <c r="CU18" s="147">
        <v>0</v>
      </c>
      <c r="CW18" s="43">
        <f>'[4]Skolēnu Pils'!CW18+'[4]Laimīte'!CW18+'[4]Daugmale'!CW18+'[4]Altona'!CW18+'[4]Šaha'!CW18+'[4]BSKR_Rīga'!CW18</f>
        <v>0</v>
      </c>
      <c r="CX18" s="119" t="s">
        <v>309</v>
      </c>
      <c r="CY18" s="43" t="e">
        <f t="shared" si="28"/>
        <v>#DIV/0!</v>
      </c>
      <c r="CZ18" s="139">
        <f>'[4]Skolēnu Pils'!CZ18+'[4]Laimīte'!CZ18+'[4]Daugmale'!CZ18+'[4]Altona'!CZ18+'[4]Šaha'!CZ18+'[4]BSKR_Rīga'!CZ18</f>
        <v>0</v>
      </c>
      <c r="DB18" s="152">
        <v>0</v>
      </c>
      <c r="DC18" s="148" t="s">
        <v>309</v>
      </c>
      <c r="DD18" s="145" t="e">
        <v>#DIV/0!</v>
      </c>
      <c r="DE18" s="152">
        <v>0</v>
      </c>
      <c r="DG18" s="160">
        <v>0</v>
      </c>
      <c r="DH18" s="160" t="s">
        <v>309</v>
      </c>
      <c r="DI18" s="160" t="e">
        <v>#DIV/0!</v>
      </c>
      <c r="DJ18" s="160">
        <v>0</v>
      </c>
      <c r="DL18" s="42"/>
      <c r="DM18" s="119" t="s">
        <v>309</v>
      </c>
      <c r="DN18" s="43" t="e">
        <f t="shared" si="29"/>
        <v>#DIV/0!</v>
      </c>
      <c r="DO18" s="52"/>
      <c r="DQ18" s="42"/>
      <c r="DR18" s="119" t="s">
        <v>309</v>
      </c>
      <c r="DS18" s="43" t="e">
        <f t="shared" si="30"/>
        <v>#DIV/0!</v>
      </c>
      <c r="DT18" s="52"/>
    </row>
    <row r="19" spans="1:124" ht="15" customHeight="1">
      <c r="A19" s="3" t="s">
        <v>113</v>
      </c>
      <c r="B19" s="4" t="s">
        <v>5</v>
      </c>
      <c r="C19" s="6" t="s">
        <v>52</v>
      </c>
      <c r="D19" s="43">
        <f t="shared" si="25"/>
        <v>4</v>
      </c>
      <c r="E19" s="2" t="s">
        <v>307</v>
      </c>
      <c r="F19" s="43">
        <f t="shared" si="26"/>
        <v>973.75</v>
      </c>
      <c r="G19" s="59">
        <f t="shared" si="1"/>
        <v>2651</v>
      </c>
      <c r="J19" s="28"/>
      <c r="K19" s="28"/>
      <c r="L19" s="37" t="e">
        <f t="shared" si="0"/>
        <v>#DIV/0!</v>
      </c>
      <c r="M19" s="28"/>
      <c r="N19" s="28"/>
      <c r="O19" s="28" t="e">
        <f t="shared" si="2"/>
        <v>#DIV/0!</v>
      </c>
      <c r="P19" s="28"/>
      <c r="Q19" s="28"/>
      <c r="R19" s="28" t="e">
        <f t="shared" si="3"/>
        <v>#DIV/0!</v>
      </c>
      <c r="S19" s="28"/>
      <c r="T19" s="28"/>
      <c r="U19" s="28" t="e">
        <f t="shared" si="4"/>
        <v>#DIV/0!</v>
      </c>
      <c r="V19" s="28"/>
      <c r="W19" s="28"/>
      <c r="X19" s="28" t="e">
        <f t="shared" si="5"/>
        <v>#DIV/0!</v>
      </c>
      <c r="Y19" s="28"/>
      <c r="Z19" s="28"/>
      <c r="AA19" s="28" t="e">
        <f t="shared" si="6"/>
        <v>#DIV/0!</v>
      </c>
      <c r="AB19" s="28"/>
      <c r="AC19" s="28"/>
      <c r="AD19" s="28" t="e">
        <f t="shared" si="7"/>
        <v>#DIV/0!</v>
      </c>
      <c r="AE19" s="28"/>
      <c r="AF19" s="28"/>
      <c r="AG19" s="28" t="e">
        <f t="shared" si="8"/>
        <v>#DIV/0!</v>
      </c>
      <c r="AH19" s="28"/>
      <c r="AI19" s="28"/>
      <c r="AJ19" s="28" t="e">
        <f t="shared" si="9"/>
        <v>#DIV/0!</v>
      </c>
      <c r="AK19" s="28"/>
      <c r="AL19" s="28"/>
      <c r="AM19" s="28" t="e">
        <f t="shared" si="10"/>
        <v>#DIV/0!</v>
      </c>
      <c r="AN19" s="28"/>
      <c r="AO19" s="28"/>
      <c r="AP19" s="28" t="e">
        <f t="shared" si="11"/>
        <v>#DIV/0!</v>
      </c>
      <c r="AQ19" s="28"/>
      <c r="AR19" s="28"/>
      <c r="AS19" s="28" t="e">
        <f t="shared" si="12"/>
        <v>#DIV/0!</v>
      </c>
      <c r="AT19" s="28"/>
      <c r="AU19" s="28"/>
      <c r="AV19" s="28" t="e">
        <f t="shared" si="13"/>
        <v>#DIV/0!</v>
      </c>
      <c r="AW19" s="28"/>
      <c r="AX19" s="28"/>
      <c r="AY19" s="28" t="e">
        <f t="shared" si="14"/>
        <v>#DIV/0!</v>
      </c>
      <c r="AZ19" s="28"/>
      <c r="BA19" s="28"/>
      <c r="BB19" s="28" t="e">
        <f t="shared" si="15"/>
        <v>#DIV/0!</v>
      </c>
      <c r="BC19" s="28"/>
      <c r="BD19" s="28"/>
      <c r="BE19" s="28" t="e">
        <f t="shared" si="16"/>
        <v>#DIV/0!</v>
      </c>
      <c r="BF19" s="28">
        <f>1</f>
        <v>1</v>
      </c>
      <c r="BG19" s="28">
        <f>834</f>
        <v>834</v>
      </c>
      <c r="BH19" s="28">
        <f t="shared" si="17"/>
        <v>834</v>
      </c>
      <c r="BI19" s="28"/>
      <c r="BJ19" s="28"/>
      <c r="BK19" s="28" t="e">
        <f t="shared" si="18"/>
        <v>#DIV/0!</v>
      </c>
      <c r="BL19" s="28"/>
      <c r="BM19" s="28"/>
      <c r="BN19" s="28" t="e">
        <f t="shared" si="19"/>
        <v>#DIV/0!</v>
      </c>
      <c r="BO19" s="28"/>
      <c r="BP19" s="28"/>
      <c r="BQ19" s="28" t="e">
        <f t="shared" si="20"/>
        <v>#DIV/0!</v>
      </c>
      <c r="BR19" s="28"/>
      <c r="BS19" s="28"/>
      <c r="BT19" s="28" t="e">
        <f t="shared" si="21"/>
        <v>#DIV/0!</v>
      </c>
      <c r="BU19" s="28"/>
      <c r="BV19" s="28"/>
      <c r="BW19" s="28" t="e">
        <f t="shared" si="22"/>
        <v>#DIV/0!</v>
      </c>
      <c r="BX19" s="28">
        <f>1</f>
        <v>1</v>
      </c>
      <c r="BY19" s="28">
        <f>839</f>
        <v>839</v>
      </c>
      <c r="BZ19" s="28">
        <f t="shared" si="23"/>
        <v>839</v>
      </c>
      <c r="CA19" s="28">
        <v>1</v>
      </c>
      <c r="CB19" s="28">
        <f>978</f>
        <v>978</v>
      </c>
      <c r="CC19" s="28">
        <f t="shared" si="24"/>
        <v>978</v>
      </c>
      <c r="CD19" s="33"/>
      <c r="CH19" s="59">
        <f>CF19*CG19</f>
        <v>0</v>
      </c>
      <c r="CP19" s="80">
        <f t="shared" si="27"/>
        <v>3895</v>
      </c>
      <c r="CR19" s="145">
        <v>2</v>
      </c>
      <c r="CS19" s="148" t="s">
        <v>307</v>
      </c>
      <c r="CT19" s="145">
        <v>971.5</v>
      </c>
      <c r="CU19" s="147">
        <v>1943</v>
      </c>
      <c r="CW19" s="43">
        <f>'[4]Skolēnu Pils'!CW19+'[4]Laimīte'!CW19+'[4]Daugmale'!CW19+'[4]Altona'!CW19+'[4]Šaha'!CW19+'[4]BSKR_Rīga'!CW19</f>
        <v>0</v>
      </c>
      <c r="CX19" s="2" t="s">
        <v>307</v>
      </c>
      <c r="CY19" s="43" t="e">
        <f t="shared" si="28"/>
        <v>#DIV/0!</v>
      </c>
      <c r="CZ19" s="139">
        <f>'[4]Skolēnu Pils'!CZ19+'[4]Laimīte'!CZ19+'[4]Daugmale'!CZ19+'[4]Altona'!CZ19+'[4]Šaha'!CZ19+'[4]BSKR_Rīga'!CZ19</f>
        <v>0</v>
      </c>
      <c r="DB19" s="152">
        <v>0</v>
      </c>
      <c r="DC19" s="148" t="s">
        <v>307</v>
      </c>
      <c r="DD19" s="145" t="e">
        <v>#DIV/0!</v>
      </c>
      <c r="DE19" s="152">
        <v>0</v>
      </c>
      <c r="DG19" s="160">
        <v>2</v>
      </c>
      <c r="DH19" s="160" t="s">
        <v>307</v>
      </c>
      <c r="DI19" s="160">
        <v>976</v>
      </c>
      <c r="DJ19" s="160">
        <v>1952</v>
      </c>
      <c r="DL19" s="42"/>
      <c r="DM19" s="2" t="s">
        <v>307</v>
      </c>
      <c r="DN19" s="43" t="e">
        <f t="shared" si="29"/>
        <v>#DIV/0!</v>
      </c>
      <c r="DO19" s="52"/>
      <c r="DQ19" s="42"/>
      <c r="DR19" s="2" t="s">
        <v>307</v>
      </c>
      <c r="DS19" s="43" t="e">
        <f t="shared" si="30"/>
        <v>#DIV/0!</v>
      </c>
      <c r="DT19" s="52"/>
    </row>
    <row r="20" spans="1:124" ht="15" customHeight="1" hidden="1">
      <c r="A20" s="54"/>
      <c r="B20" s="54"/>
      <c r="C20" s="54"/>
      <c r="D20" s="43">
        <f t="shared" si="25"/>
        <v>0</v>
      </c>
      <c r="E20" s="55"/>
      <c r="F20" s="43" t="e">
        <f t="shared" si="26"/>
        <v>#DIV/0!</v>
      </c>
      <c r="CP20" s="80">
        <f t="shared" si="27"/>
        <v>0</v>
      </c>
      <c r="CR20" s="150">
        <v>0</v>
      </c>
      <c r="CS20" s="151"/>
      <c r="CT20" s="145" t="e">
        <v>#DIV/0!</v>
      </c>
      <c r="CU20" s="147">
        <v>0</v>
      </c>
      <c r="CW20" s="140">
        <f>'[4]Skolēnu Pils'!CW20+'[4]Laimīte'!CW20+'[4]Daugmale'!CW20+'[4]Altona'!CW20+'[4]Šaha'!CW20+'[4]BSKR_Rīga'!CW20</f>
        <v>0</v>
      </c>
      <c r="CX20" s="55"/>
      <c r="CY20" s="43" t="e">
        <f t="shared" si="28"/>
        <v>#DIV/0!</v>
      </c>
      <c r="CZ20" s="139">
        <f>'[4]Skolēnu Pils'!CZ20+'[4]Laimīte'!CZ20+'[4]Daugmale'!CZ20+'[4]Altona'!CZ20+'[4]Šaha'!CZ20+'[4]BSKR_Rīga'!CZ20</f>
        <v>0</v>
      </c>
      <c r="DB20" s="152">
        <v>0</v>
      </c>
      <c r="DC20" s="151"/>
      <c r="DD20" s="145" t="e">
        <v>#DIV/0!</v>
      </c>
      <c r="DE20" s="152">
        <v>0</v>
      </c>
      <c r="DG20" s="160">
        <v>0</v>
      </c>
      <c r="DH20" s="160"/>
      <c r="DI20" s="160" t="e">
        <v>#DIV/0!</v>
      </c>
      <c r="DJ20" s="160">
        <v>0</v>
      </c>
      <c r="DL20" s="55"/>
      <c r="DM20" s="55"/>
      <c r="DN20" s="43" t="e">
        <f t="shared" si="29"/>
        <v>#DIV/0!</v>
      </c>
      <c r="DO20" s="52"/>
      <c r="DQ20" s="55"/>
      <c r="DR20" s="55"/>
      <c r="DS20" s="43" t="e">
        <f t="shared" si="30"/>
        <v>#DIV/0!</v>
      </c>
      <c r="DT20" s="52"/>
    </row>
    <row r="21" spans="1:124" ht="15.75" customHeight="1" hidden="1">
      <c r="A21" s="54"/>
      <c r="B21" s="54"/>
      <c r="C21" s="54"/>
      <c r="D21" s="43">
        <f t="shared" si="25"/>
        <v>0</v>
      </c>
      <c r="E21" s="55"/>
      <c r="F21" s="43" t="e">
        <f t="shared" si="26"/>
        <v>#DIV/0!</v>
      </c>
      <c r="J21" s="69" t="s">
        <v>272</v>
      </c>
      <c r="K21" s="70"/>
      <c r="L21" s="71"/>
      <c r="M21" s="72" t="s">
        <v>273</v>
      </c>
      <c r="N21" s="73"/>
      <c r="O21" s="74"/>
      <c r="P21" s="69" t="s">
        <v>274</v>
      </c>
      <c r="Q21" s="70"/>
      <c r="R21" s="71"/>
      <c r="S21" s="69" t="s">
        <v>275</v>
      </c>
      <c r="T21" s="70"/>
      <c r="U21" s="71"/>
      <c r="V21" s="69" t="s">
        <v>276</v>
      </c>
      <c r="W21" s="70"/>
      <c r="X21" s="71"/>
      <c r="Y21" s="69" t="s">
        <v>277</v>
      </c>
      <c r="Z21" s="70"/>
      <c r="AA21" s="71"/>
      <c r="AB21" s="69" t="s">
        <v>278</v>
      </c>
      <c r="AC21" s="70"/>
      <c r="AD21" s="71"/>
      <c r="AE21" s="69" t="s">
        <v>279</v>
      </c>
      <c r="AF21" s="70"/>
      <c r="AG21" s="71"/>
      <c r="AH21" s="69" t="s">
        <v>280</v>
      </c>
      <c r="AI21" s="70"/>
      <c r="AJ21" s="71"/>
      <c r="AK21" s="69" t="s">
        <v>281</v>
      </c>
      <c r="AL21" s="70"/>
      <c r="AM21" s="71"/>
      <c r="AN21" s="69" t="s">
        <v>282</v>
      </c>
      <c r="AO21" s="70"/>
      <c r="AP21" s="71"/>
      <c r="AQ21" s="69" t="s">
        <v>283</v>
      </c>
      <c r="AR21" s="70"/>
      <c r="AS21" s="71"/>
      <c r="AT21" s="69" t="s">
        <v>284</v>
      </c>
      <c r="AU21" s="70"/>
      <c r="AV21" s="71"/>
      <c r="AW21" s="69" t="s">
        <v>285</v>
      </c>
      <c r="AX21" s="70"/>
      <c r="AY21" s="71"/>
      <c r="AZ21" s="69" t="s">
        <v>286</v>
      </c>
      <c r="BA21" s="70"/>
      <c r="BB21" s="71"/>
      <c r="BC21" s="69" t="s">
        <v>287</v>
      </c>
      <c r="BD21" s="70"/>
      <c r="BE21" s="71"/>
      <c r="BF21" s="69" t="s">
        <v>288</v>
      </c>
      <c r="BG21" s="70"/>
      <c r="BH21" s="71"/>
      <c r="BI21" s="69" t="s">
        <v>289</v>
      </c>
      <c r="BJ21" s="70"/>
      <c r="BK21" s="71"/>
      <c r="BL21" s="69" t="s">
        <v>290</v>
      </c>
      <c r="BM21" s="70"/>
      <c r="BN21" s="71"/>
      <c r="BO21" s="69" t="s">
        <v>291</v>
      </c>
      <c r="BP21" s="70"/>
      <c r="BQ21" s="71"/>
      <c r="BR21" s="69" t="s">
        <v>292</v>
      </c>
      <c r="BS21" s="70"/>
      <c r="BT21" s="71"/>
      <c r="BU21" s="69" t="s">
        <v>293</v>
      </c>
      <c r="BV21" s="70"/>
      <c r="BW21" s="71"/>
      <c r="BX21" s="69" t="s">
        <v>294</v>
      </c>
      <c r="BY21" s="70"/>
      <c r="BZ21" s="71"/>
      <c r="CA21" s="69" t="s">
        <v>295</v>
      </c>
      <c r="CB21" s="70"/>
      <c r="CC21" s="71"/>
      <c r="CD21" s="75"/>
      <c r="CF21" s="59" t="s">
        <v>296</v>
      </c>
      <c r="CP21" s="80">
        <f t="shared" si="27"/>
        <v>0</v>
      </c>
      <c r="CR21" s="150">
        <v>0</v>
      </c>
      <c r="CS21" s="151"/>
      <c r="CT21" s="145" t="e">
        <v>#DIV/0!</v>
      </c>
      <c r="CU21" s="147">
        <v>0</v>
      </c>
      <c r="CW21" s="140">
        <f>'[4]Skolēnu Pils'!CW21+'[4]Laimīte'!CW21+'[4]Daugmale'!CW21+'[4]Altona'!CW21+'[4]Šaha'!CW21+'[4]BSKR_Rīga'!CW21</f>
        <v>0</v>
      </c>
      <c r="CX21" s="55"/>
      <c r="CY21" s="43" t="e">
        <f t="shared" si="28"/>
        <v>#DIV/0!</v>
      </c>
      <c r="CZ21" s="139">
        <f>'[4]Skolēnu Pils'!CZ21+'[4]Laimīte'!CZ21+'[4]Daugmale'!CZ21+'[4]Altona'!CZ21+'[4]Šaha'!CZ21+'[4]BSKR_Rīga'!CZ21</f>
        <v>0</v>
      </c>
      <c r="DB21" s="152">
        <v>0</v>
      </c>
      <c r="DC21" s="151"/>
      <c r="DD21" s="145" t="e">
        <v>#DIV/0!</v>
      </c>
      <c r="DE21" s="152">
        <v>0</v>
      </c>
      <c r="DG21" s="160">
        <v>0</v>
      </c>
      <c r="DH21" s="160"/>
      <c r="DI21" s="160" t="e">
        <v>#DIV/0!</v>
      </c>
      <c r="DJ21" s="160">
        <v>0</v>
      </c>
      <c r="DL21" s="55"/>
      <c r="DM21" s="55"/>
      <c r="DN21" s="43" t="e">
        <f t="shared" si="29"/>
        <v>#DIV/0!</v>
      </c>
      <c r="DO21" s="52"/>
      <c r="DQ21" s="55"/>
      <c r="DR21" s="55"/>
      <c r="DS21" s="43" t="e">
        <f t="shared" si="30"/>
        <v>#DIV/0!</v>
      </c>
      <c r="DT21" s="52"/>
    </row>
    <row r="22" spans="1:124" s="76" customFormat="1" ht="17.25" customHeight="1">
      <c r="A22" s="3" t="s">
        <v>3</v>
      </c>
      <c r="B22" s="4" t="s">
        <v>46</v>
      </c>
      <c r="C22" s="6" t="s">
        <v>13</v>
      </c>
      <c r="D22" s="43">
        <f t="shared" si="25"/>
        <v>123.65</v>
      </c>
      <c r="E22" s="4" t="s">
        <v>313</v>
      </c>
      <c r="F22" s="43">
        <f t="shared" si="26"/>
        <v>436.7367569753336</v>
      </c>
      <c r="G22" s="59">
        <f aca="true" t="shared" si="31" ref="G22:G53">K22+N22+Q22+T22+W22+Z22+AC22+AF22+AI22+AL22+AO22+AR22+AU22+AX22+BA22+BD22+BG22+BJ22+BM22+BP22+BS22+BV22+BY22+CB22+CG22</f>
        <v>45756.5</v>
      </c>
      <c r="H22" s="59"/>
      <c r="I22" s="59"/>
      <c r="J22" s="79">
        <f>7+0.5</f>
        <v>7.5</v>
      </c>
      <c r="K22" s="79">
        <f>7*395+197</f>
        <v>2962</v>
      </c>
      <c r="L22" s="83">
        <f aca="true" t="shared" si="32" ref="L22:L53">K22/J22</f>
        <v>394.93333333333334</v>
      </c>
      <c r="M22" s="79">
        <f>1</f>
        <v>1</v>
      </c>
      <c r="N22" s="79">
        <f>380</f>
        <v>380</v>
      </c>
      <c r="O22" s="79">
        <f aca="true" t="shared" si="33" ref="O22:O53">N22/M22</f>
        <v>380</v>
      </c>
      <c r="P22" s="79">
        <f>10+0.5</f>
        <v>10.5</v>
      </c>
      <c r="Q22" s="79">
        <f>10*395+190</f>
        <v>4140</v>
      </c>
      <c r="R22" s="79">
        <f aca="true" t="shared" si="34" ref="R22:R53">Q22/P22</f>
        <v>394.2857142857143</v>
      </c>
      <c r="S22" s="79">
        <f>2+1</f>
        <v>3</v>
      </c>
      <c r="T22" s="79">
        <f>2*393+393</f>
        <v>1179</v>
      </c>
      <c r="U22" s="79">
        <f aca="true" t="shared" si="35" ref="U22:U53">T22/S22</f>
        <v>393</v>
      </c>
      <c r="V22" s="79">
        <f>5.5</f>
        <v>5.5</v>
      </c>
      <c r="W22" s="79">
        <f>5*380+197</f>
        <v>2097</v>
      </c>
      <c r="X22" s="79">
        <f aca="true" t="shared" si="36" ref="X22:X53">W22/V22</f>
        <v>381.27272727272725</v>
      </c>
      <c r="Y22" s="79">
        <f>5.5+1</f>
        <v>6.5</v>
      </c>
      <c r="Z22" s="79">
        <f>5.5*380+395</f>
        <v>2485</v>
      </c>
      <c r="AA22" s="79">
        <f aca="true" t="shared" si="37" ref="AA22:AA53">Z22/Y22</f>
        <v>382.3076923076923</v>
      </c>
      <c r="AB22" s="79">
        <f>7.5</f>
        <v>7.5</v>
      </c>
      <c r="AC22" s="79">
        <f>3*390+395+190+380+395+385</f>
        <v>2915</v>
      </c>
      <c r="AD22" s="79">
        <f aca="true" t="shared" si="38" ref="AD22:AD53">AC22/AB22</f>
        <v>388.6666666666667</v>
      </c>
      <c r="AE22" s="79">
        <f>5</f>
        <v>5</v>
      </c>
      <c r="AF22" s="79">
        <f>5*380</f>
        <v>1900</v>
      </c>
      <c r="AG22" s="79">
        <f aca="true" t="shared" si="39" ref="AG22:AG53">AF22/AE22</f>
        <v>380</v>
      </c>
      <c r="AH22" s="79">
        <f>3</f>
        <v>3</v>
      </c>
      <c r="AI22" s="79">
        <f>395+2*380</f>
        <v>1155</v>
      </c>
      <c r="AJ22" s="79">
        <f aca="true" t="shared" si="40" ref="AJ22:AJ53">AI22/AH22</f>
        <v>385</v>
      </c>
      <c r="AK22" s="79">
        <f>1.4</f>
        <v>1.4</v>
      </c>
      <c r="AL22" s="79">
        <f>380+152</f>
        <v>532</v>
      </c>
      <c r="AM22" s="79">
        <f aca="true" t="shared" si="41" ref="AM22:AM53">AL22/AK22</f>
        <v>380</v>
      </c>
      <c r="AN22" s="79">
        <f>1</f>
        <v>1</v>
      </c>
      <c r="AO22" s="79">
        <f>380</f>
        <v>380</v>
      </c>
      <c r="AP22" s="79">
        <f aca="true" t="shared" si="42" ref="AP22:AP53">AO22/AN22</f>
        <v>380</v>
      </c>
      <c r="AQ22" s="79">
        <f>4+1</f>
        <v>5</v>
      </c>
      <c r="AR22" s="79">
        <f>4*380+2*190</f>
        <v>1900</v>
      </c>
      <c r="AS22" s="79">
        <f aca="true" t="shared" si="43" ref="AS22:AS53">AR22/AQ22</f>
        <v>380</v>
      </c>
      <c r="AT22" s="79">
        <f>4</f>
        <v>4</v>
      </c>
      <c r="AU22" s="79">
        <f>4*380</f>
        <v>1520</v>
      </c>
      <c r="AV22" s="79">
        <f aca="true" t="shared" si="44" ref="AV22:AV53">AU22/AT22</f>
        <v>380</v>
      </c>
      <c r="AW22" s="79">
        <f>1+2</f>
        <v>3</v>
      </c>
      <c r="AX22" s="79">
        <f>380+2*380</f>
        <v>1140</v>
      </c>
      <c r="AY22" s="79">
        <f aca="true" t="shared" si="45" ref="AY22:AY53">AX22/AW22</f>
        <v>380</v>
      </c>
      <c r="AZ22" s="79">
        <f>1</f>
        <v>1</v>
      </c>
      <c r="BA22" s="79">
        <f>395</f>
        <v>395</v>
      </c>
      <c r="BB22" s="79">
        <f aca="true" t="shared" si="46" ref="BB22:BB53">BA22/AZ22</f>
        <v>395</v>
      </c>
      <c r="BC22" s="79">
        <f>5</f>
        <v>5</v>
      </c>
      <c r="BD22" s="79">
        <f>5*395</f>
        <v>1975</v>
      </c>
      <c r="BE22" s="79">
        <f aca="true" t="shared" si="47" ref="BE22:BE53">BD22/BC22</f>
        <v>395</v>
      </c>
      <c r="BF22" s="79">
        <f>2</f>
        <v>2</v>
      </c>
      <c r="BG22" s="79">
        <f>395+380</f>
        <v>775</v>
      </c>
      <c r="BH22" s="79">
        <f aca="true" t="shared" si="48" ref="BH22:BH53">BG22/BF22</f>
        <v>387.5</v>
      </c>
      <c r="BI22" s="79">
        <f>1</f>
        <v>1</v>
      </c>
      <c r="BJ22" s="79">
        <f>395</f>
        <v>395</v>
      </c>
      <c r="BK22" s="79">
        <f aca="true" t="shared" si="49" ref="BK22:BK53">BJ22/BI22</f>
        <v>395</v>
      </c>
      <c r="BL22" s="79">
        <f>1</f>
        <v>1</v>
      </c>
      <c r="BM22" s="79">
        <f>395</f>
        <v>395</v>
      </c>
      <c r="BN22" s="79">
        <f aca="true" t="shared" si="50" ref="BN22:BN53">BM22/BL22</f>
        <v>395</v>
      </c>
      <c r="BO22" s="79">
        <f>2.5+0.25</f>
        <v>2.75</v>
      </c>
      <c r="BP22" s="79">
        <f>2*395+197+98</f>
        <v>1085</v>
      </c>
      <c r="BQ22" s="79">
        <f aca="true" t="shared" si="51" ref="BQ22:BQ53">BP22/BO22</f>
        <v>394.54545454545456</v>
      </c>
      <c r="BR22" s="79">
        <f>4</f>
        <v>4</v>
      </c>
      <c r="BS22" s="79">
        <f>3*395+380</f>
        <v>1565</v>
      </c>
      <c r="BT22" s="79">
        <f aca="true" t="shared" si="52" ref="BT22:BT53">BS22/BR22</f>
        <v>391.25</v>
      </c>
      <c r="BU22" s="79">
        <f>3</f>
        <v>3</v>
      </c>
      <c r="BV22" s="79">
        <f>2*395+2*197.5</f>
        <v>1185</v>
      </c>
      <c r="BW22" s="79">
        <f aca="true" t="shared" si="53" ref="BW22:BW53">BV22/BU22</f>
        <v>395</v>
      </c>
      <c r="BX22" s="79">
        <f>3+2</f>
        <v>5</v>
      </c>
      <c r="BY22" s="79">
        <f>3*395+2*380</f>
        <v>1945</v>
      </c>
      <c r="BZ22" s="79">
        <f aca="true" t="shared" si="54" ref="BZ22:BZ53">BY22/BX22</f>
        <v>389</v>
      </c>
      <c r="CA22" s="79">
        <f>13+5+4+4</f>
        <v>26</v>
      </c>
      <c r="CB22" s="79">
        <f>13*395+5*395+4*395+1526.5</f>
        <v>10216.5</v>
      </c>
      <c r="CC22" s="79">
        <f aca="true" t="shared" si="55" ref="CC22:CC53">CB22/CA22</f>
        <v>392.9423076923077</v>
      </c>
      <c r="CD22" s="86"/>
      <c r="CE22" s="79"/>
      <c r="CF22" s="79">
        <v>3</v>
      </c>
      <c r="CG22" s="79">
        <f>CF22*CH22</f>
        <v>1140</v>
      </c>
      <c r="CH22" s="79">
        <v>380</v>
      </c>
      <c r="CI22" s="59"/>
      <c r="CJ22" s="59"/>
      <c r="CK22" s="59"/>
      <c r="CL22" s="59"/>
      <c r="CM22" s="59"/>
      <c r="CN22" s="59"/>
      <c r="CO22" s="59"/>
      <c r="CP22" s="80">
        <f t="shared" si="27"/>
        <v>54002.5</v>
      </c>
      <c r="CQ22" s="137"/>
      <c r="CR22" s="145">
        <v>48</v>
      </c>
      <c r="CS22" s="149" t="s">
        <v>313</v>
      </c>
      <c r="CT22" s="145">
        <v>437.1875</v>
      </c>
      <c r="CU22" s="147">
        <v>20985</v>
      </c>
      <c r="CV22" s="137"/>
      <c r="CW22" s="43">
        <f>'[4]Skolēnu Pils'!CW22+'[4]Laimīte'!CW22+'[4]Daugmale'!CW22+'[4]Altona'!CW22+'[4]Šaha'!CW22+'[4]BSKR_Rīga'!CW22</f>
        <v>0</v>
      </c>
      <c r="CX22" s="4" t="s">
        <v>313</v>
      </c>
      <c r="CY22" s="43" t="e">
        <f t="shared" si="28"/>
        <v>#DIV/0!</v>
      </c>
      <c r="CZ22" s="139">
        <f>'[4]Skolēnu Pils'!CZ22+'[4]Laimīte'!CZ22+'[4]Daugmale'!CZ22+'[4]Altona'!CZ22+'[4]Šaha'!CZ22+'[4]BSKR_Rīga'!CZ22</f>
        <v>0</v>
      </c>
      <c r="DA22" s="137"/>
      <c r="DB22" s="152">
        <v>44.9</v>
      </c>
      <c r="DC22" s="149" t="s">
        <v>313</v>
      </c>
      <c r="DD22" s="145">
        <v>435.6792873051225</v>
      </c>
      <c r="DE22" s="152">
        <v>19562</v>
      </c>
      <c r="DF22" s="158"/>
      <c r="DG22" s="144">
        <v>27.75</v>
      </c>
      <c r="DH22" s="144" t="s">
        <v>313</v>
      </c>
      <c r="DI22" s="144">
        <v>438.39639639639637</v>
      </c>
      <c r="DJ22" s="144">
        <v>12165.5</v>
      </c>
      <c r="DK22" s="137"/>
      <c r="DL22" s="42"/>
      <c r="DM22" s="4" t="s">
        <v>313</v>
      </c>
      <c r="DN22" s="43" t="e">
        <f t="shared" si="29"/>
        <v>#DIV/0!</v>
      </c>
      <c r="DO22" s="52"/>
      <c r="DP22" s="137"/>
      <c r="DQ22" s="42">
        <f>2+1</f>
        <v>3</v>
      </c>
      <c r="DR22" s="4" t="s">
        <v>313</v>
      </c>
      <c r="DS22" s="43">
        <f t="shared" si="30"/>
        <v>430</v>
      </c>
      <c r="DT22" s="52">
        <f>430*3</f>
        <v>1290</v>
      </c>
    </row>
    <row r="23" spans="1:124" s="76" customFormat="1" ht="17.25" customHeight="1">
      <c r="A23" s="3" t="s">
        <v>3</v>
      </c>
      <c r="B23" s="4" t="s">
        <v>48</v>
      </c>
      <c r="C23" s="6" t="s">
        <v>109</v>
      </c>
      <c r="D23" s="43">
        <f t="shared" si="25"/>
        <v>1</v>
      </c>
      <c r="E23" s="2" t="s">
        <v>315</v>
      </c>
      <c r="F23" s="43">
        <f t="shared" si="26"/>
        <v>530</v>
      </c>
      <c r="G23" s="59">
        <f t="shared" si="31"/>
        <v>517</v>
      </c>
      <c r="H23" s="59"/>
      <c r="I23" s="59"/>
      <c r="J23" s="82"/>
      <c r="K23" s="82"/>
      <c r="L23" s="84" t="e">
        <f t="shared" si="32"/>
        <v>#DIV/0!</v>
      </c>
      <c r="M23" s="82"/>
      <c r="N23" s="82"/>
      <c r="O23" s="82" t="e">
        <f t="shared" si="33"/>
        <v>#DIV/0!</v>
      </c>
      <c r="P23" s="82"/>
      <c r="Q23" s="82"/>
      <c r="R23" s="82" t="e">
        <f t="shared" si="34"/>
        <v>#DIV/0!</v>
      </c>
      <c r="S23" s="82"/>
      <c r="T23" s="82"/>
      <c r="U23" s="82" t="e">
        <f t="shared" si="35"/>
        <v>#DIV/0!</v>
      </c>
      <c r="V23" s="82"/>
      <c r="W23" s="82"/>
      <c r="X23" s="82" t="e">
        <f t="shared" si="36"/>
        <v>#DIV/0!</v>
      </c>
      <c r="Y23" s="82"/>
      <c r="Z23" s="82"/>
      <c r="AA23" s="82" t="e">
        <f t="shared" si="37"/>
        <v>#DIV/0!</v>
      </c>
      <c r="AB23" s="82"/>
      <c r="AC23" s="82"/>
      <c r="AD23" s="82" t="e">
        <f t="shared" si="38"/>
        <v>#DIV/0!</v>
      </c>
      <c r="AE23" s="82"/>
      <c r="AF23" s="82"/>
      <c r="AG23" s="82" t="e">
        <f t="shared" si="39"/>
        <v>#DIV/0!</v>
      </c>
      <c r="AH23" s="82"/>
      <c r="AI23" s="82"/>
      <c r="AJ23" s="82" t="e">
        <f t="shared" si="40"/>
        <v>#DIV/0!</v>
      </c>
      <c r="AK23" s="82"/>
      <c r="AL23" s="82"/>
      <c r="AM23" s="82" t="e">
        <f t="shared" si="41"/>
        <v>#DIV/0!</v>
      </c>
      <c r="AN23" s="82">
        <f>1</f>
        <v>1</v>
      </c>
      <c r="AO23" s="82">
        <f>517</f>
        <v>517</v>
      </c>
      <c r="AP23" s="82">
        <f t="shared" si="42"/>
        <v>517</v>
      </c>
      <c r="AQ23" s="82"/>
      <c r="AR23" s="82"/>
      <c r="AS23" s="82" t="e">
        <f t="shared" si="43"/>
        <v>#DIV/0!</v>
      </c>
      <c r="AT23" s="82"/>
      <c r="AU23" s="82"/>
      <c r="AV23" s="82" t="e">
        <f t="shared" si="44"/>
        <v>#DIV/0!</v>
      </c>
      <c r="AW23" s="82"/>
      <c r="AX23" s="82"/>
      <c r="AY23" s="82" t="e">
        <f t="shared" si="45"/>
        <v>#DIV/0!</v>
      </c>
      <c r="AZ23" s="82"/>
      <c r="BA23" s="82"/>
      <c r="BB23" s="82" t="e">
        <f t="shared" si="46"/>
        <v>#DIV/0!</v>
      </c>
      <c r="BC23" s="82"/>
      <c r="BD23" s="82"/>
      <c r="BE23" s="82" t="e">
        <f t="shared" si="47"/>
        <v>#DIV/0!</v>
      </c>
      <c r="BF23" s="82"/>
      <c r="BG23" s="82"/>
      <c r="BH23" s="82" t="e">
        <f t="shared" si="48"/>
        <v>#DIV/0!</v>
      </c>
      <c r="BI23" s="82"/>
      <c r="BJ23" s="82"/>
      <c r="BK23" s="82" t="e">
        <f t="shared" si="49"/>
        <v>#DIV/0!</v>
      </c>
      <c r="BL23" s="82"/>
      <c r="BM23" s="82"/>
      <c r="BN23" s="82" t="e">
        <f t="shared" si="50"/>
        <v>#DIV/0!</v>
      </c>
      <c r="BO23" s="82"/>
      <c r="BP23" s="82"/>
      <c r="BQ23" s="82" t="e">
        <f t="shared" si="51"/>
        <v>#DIV/0!</v>
      </c>
      <c r="BR23" s="82"/>
      <c r="BS23" s="82"/>
      <c r="BT23" s="82" t="e">
        <f t="shared" si="52"/>
        <v>#DIV/0!</v>
      </c>
      <c r="BU23" s="82"/>
      <c r="BV23" s="82"/>
      <c r="BW23" s="82" t="e">
        <f t="shared" si="53"/>
        <v>#DIV/0!</v>
      </c>
      <c r="BX23" s="82"/>
      <c r="BY23" s="82"/>
      <c r="BZ23" s="82" t="e">
        <f t="shared" si="54"/>
        <v>#DIV/0!</v>
      </c>
      <c r="CA23" s="82"/>
      <c r="CB23" s="82"/>
      <c r="CC23" s="82" t="e">
        <f t="shared" si="55"/>
        <v>#DIV/0!</v>
      </c>
      <c r="CD23" s="87"/>
      <c r="CE23" s="82"/>
      <c r="CF23" s="82"/>
      <c r="CG23" s="82"/>
      <c r="CH23" s="82"/>
      <c r="CI23" s="59"/>
      <c r="CJ23" s="59"/>
      <c r="CK23" s="59"/>
      <c r="CL23" s="59"/>
      <c r="CM23" s="59"/>
      <c r="CN23" s="59"/>
      <c r="CO23" s="59"/>
      <c r="CP23" s="80">
        <f t="shared" si="27"/>
        <v>530</v>
      </c>
      <c r="CQ23" s="137"/>
      <c r="CR23" s="145">
        <v>0</v>
      </c>
      <c r="CS23" s="148" t="s">
        <v>315</v>
      </c>
      <c r="CT23" s="145" t="e">
        <v>#DIV/0!</v>
      </c>
      <c r="CU23" s="147">
        <v>0</v>
      </c>
      <c r="CV23" s="137"/>
      <c r="CW23" s="43">
        <f>'[4]Skolēnu Pils'!CW23+'[4]Laimīte'!CW23+'[4]Daugmale'!CW23+'[4]Altona'!CW23+'[4]Šaha'!CW23+'[4]BSKR_Rīga'!CW23</f>
        <v>0</v>
      </c>
      <c r="CX23" s="2" t="s">
        <v>315</v>
      </c>
      <c r="CY23" s="43" t="e">
        <f t="shared" si="28"/>
        <v>#DIV/0!</v>
      </c>
      <c r="CZ23" s="139">
        <f>'[4]Skolēnu Pils'!CZ23+'[4]Laimīte'!CZ23+'[4]Daugmale'!CZ23+'[4]Altona'!CZ23+'[4]Šaha'!CZ23+'[4]BSKR_Rīga'!CZ23</f>
        <v>0</v>
      </c>
      <c r="DA23" s="137"/>
      <c r="DB23" s="152">
        <v>1</v>
      </c>
      <c r="DC23" s="148" t="s">
        <v>315</v>
      </c>
      <c r="DD23" s="145">
        <v>530</v>
      </c>
      <c r="DE23" s="152">
        <v>530</v>
      </c>
      <c r="DF23" s="158"/>
      <c r="DG23" s="144">
        <v>0</v>
      </c>
      <c r="DH23" s="144" t="s">
        <v>315</v>
      </c>
      <c r="DI23" s="144" t="e">
        <v>#DIV/0!</v>
      </c>
      <c r="DJ23" s="144">
        <v>0</v>
      </c>
      <c r="DK23" s="137"/>
      <c r="DL23" s="42"/>
      <c r="DM23" s="2" t="s">
        <v>315</v>
      </c>
      <c r="DN23" s="43" t="e">
        <f t="shared" si="29"/>
        <v>#DIV/0!</v>
      </c>
      <c r="DO23" s="52"/>
      <c r="DP23" s="137"/>
      <c r="DQ23" s="42"/>
      <c r="DR23" s="2" t="s">
        <v>315</v>
      </c>
      <c r="DS23" s="43" t="e">
        <f t="shared" si="30"/>
        <v>#DIV/0!</v>
      </c>
      <c r="DT23" s="52"/>
    </row>
    <row r="24" spans="1:124" s="76" customFormat="1" ht="33">
      <c r="A24" s="3" t="s">
        <v>3</v>
      </c>
      <c r="B24" s="2" t="s">
        <v>48</v>
      </c>
      <c r="C24" s="6" t="s">
        <v>54</v>
      </c>
      <c r="D24" s="43">
        <f t="shared" si="25"/>
        <v>2</v>
      </c>
      <c r="E24" s="2" t="s">
        <v>315</v>
      </c>
      <c r="F24" s="43">
        <f t="shared" si="26"/>
        <v>703</v>
      </c>
      <c r="G24" s="59">
        <f t="shared" si="31"/>
        <v>1321.21</v>
      </c>
      <c r="H24" s="59"/>
      <c r="I24" s="59"/>
      <c r="J24" s="52"/>
      <c r="K24" s="52"/>
      <c r="L24" s="77" t="e">
        <f t="shared" si="32"/>
        <v>#DIV/0!</v>
      </c>
      <c r="M24" s="52"/>
      <c r="N24" s="52"/>
      <c r="O24" s="52" t="e">
        <f t="shared" si="33"/>
        <v>#DIV/0!</v>
      </c>
      <c r="P24" s="52"/>
      <c r="Q24" s="52"/>
      <c r="R24" s="52" t="e">
        <f t="shared" si="34"/>
        <v>#DIV/0!</v>
      </c>
      <c r="S24" s="52"/>
      <c r="T24" s="52"/>
      <c r="U24" s="52" t="e">
        <f t="shared" si="35"/>
        <v>#DIV/0!</v>
      </c>
      <c r="V24" s="52"/>
      <c r="W24" s="52"/>
      <c r="X24" s="52" t="e">
        <f t="shared" si="36"/>
        <v>#DIV/0!</v>
      </c>
      <c r="Y24" s="52"/>
      <c r="Z24" s="52"/>
      <c r="AA24" s="52" t="e">
        <f t="shared" si="37"/>
        <v>#DIV/0!</v>
      </c>
      <c r="AB24" s="52"/>
      <c r="AC24" s="52"/>
      <c r="AD24" s="52" t="e">
        <f t="shared" si="38"/>
        <v>#DIV/0!</v>
      </c>
      <c r="AE24" s="52"/>
      <c r="AF24" s="52"/>
      <c r="AG24" s="52" t="e">
        <f t="shared" si="39"/>
        <v>#DIV/0!</v>
      </c>
      <c r="AH24" s="52"/>
      <c r="AI24" s="52"/>
      <c r="AJ24" s="52" t="e">
        <f t="shared" si="40"/>
        <v>#DIV/0!</v>
      </c>
      <c r="AK24" s="52"/>
      <c r="AL24" s="52"/>
      <c r="AM24" s="52" t="e">
        <f t="shared" si="41"/>
        <v>#DIV/0!</v>
      </c>
      <c r="AN24" s="52"/>
      <c r="AO24" s="52"/>
      <c r="AP24" s="52" t="e">
        <f t="shared" si="42"/>
        <v>#DIV/0!</v>
      </c>
      <c r="AQ24" s="52"/>
      <c r="AR24" s="52"/>
      <c r="AS24" s="52" t="e">
        <f t="shared" si="43"/>
        <v>#DIV/0!</v>
      </c>
      <c r="AT24" s="52"/>
      <c r="AU24" s="52"/>
      <c r="AV24" s="52" t="e">
        <f t="shared" si="44"/>
        <v>#DIV/0!</v>
      </c>
      <c r="AW24" s="52"/>
      <c r="AX24" s="52"/>
      <c r="AY24" s="52" t="e">
        <f t="shared" si="45"/>
        <v>#DIV/0!</v>
      </c>
      <c r="AZ24" s="52"/>
      <c r="BA24" s="52"/>
      <c r="BB24" s="52" t="e">
        <f t="shared" si="46"/>
        <v>#DIV/0!</v>
      </c>
      <c r="BC24" s="52"/>
      <c r="BD24" s="52"/>
      <c r="BE24" s="52" t="e">
        <f t="shared" si="47"/>
        <v>#DIV/0!</v>
      </c>
      <c r="BF24" s="52"/>
      <c r="BG24" s="52"/>
      <c r="BH24" s="52" t="e">
        <f t="shared" si="48"/>
        <v>#DIV/0!</v>
      </c>
      <c r="BI24" s="52"/>
      <c r="BJ24" s="52"/>
      <c r="BK24" s="52" t="e">
        <f t="shared" si="49"/>
        <v>#DIV/0!</v>
      </c>
      <c r="BL24" s="52"/>
      <c r="BM24" s="52"/>
      <c r="BN24" s="52" t="e">
        <f t="shared" si="50"/>
        <v>#DIV/0!</v>
      </c>
      <c r="BO24" s="52"/>
      <c r="BP24" s="52"/>
      <c r="BQ24" s="52" t="e">
        <f t="shared" si="51"/>
        <v>#DIV/0!</v>
      </c>
      <c r="BR24" s="52"/>
      <c r="BS24" s="52"/>
      <c r="BT24" s="52" t="e">
        <f t="shared" si="52"/>
        <v>#DIV/0!</v>
      </c>
      <c r="BU24" s="52"/>
      <c r="BV24" s="52"/>
      <c r="BW24" s="52" t="e">
        <f t="shared" si="53"/>
        <v>#DIV/0!</v>
      </c>
      <c r="BX24" s="52"/>
      <c r="BY24" s="52"/>
      <c r="BZ24" s="52" t="e">
        <f t="shared" si="54"/>
        <v>#DIV/0!</v>
      </c>
      <c r="CA24" s="52">
        <f>1</f>
        <v>1</v>
      </c>
      <c r="CB24" s="52">
        <f>661</f>
        <v>661</v>
      </c>
      <c r="CC24" s="52">
        <f t="shared" si="55"/>
        <v>661</v>
      </c>
      <c r="CD24" s="33"/>
      <c r="CE24" s="59"/>
      <c r="CF24" s="59">
        <v>1</v>
      </c>
      <c r="CG24" s="59">
        <v>660.21</v>
      </c>
      <c r="CH24" s="59">
        <v>660.21</v>
      </c>
      <c r="CI24" s="59"/>
      <c r="CJ24" s="59"/>
      <c r="CK24" s="59"/>
      <c r="CL24" s="59"/>
      <c r="CM24" s="59"/>
      <c r="CN24" s="59"/>
      <c r="CO24" s="59"/>
      <c r="CP24" s="80">
        <f t="shared" si="27"/>
        <v>1406</v>
      </c>
      <c r="CQ24" s="137"/>
      <c r="CR24" s="145">
        <v>1</v>
      </c>
      <c r="CS24" s="148" t="s">
        <v>315</v>
      </c>
      <c r="CT24" s="145">
        <v>703</v>
      </c>
      <c r="CU24" s="147">
        <v>703</v>
      </c>
      <c r="CV24" s="137"/>
      <c r="CW24" s="43">
        <f>'[4]Skolēnu Pils'!CW24+'[4]Laimīte'!CW24+'[4]Daugmale'!CW24+'[4]Altona'!CW24+'[4]Šaha'!CW24+'[4]BSKR_Rīga'!CW24</f>
        <v>0</v>
      </c>
      <c r="CX24" s="2" t="s">
        <v>315</v>
      </c>
      <c r="CY24" s="43" t="e">
        <f t="shared" si="28"/>
        <v>#DIV/0!</v>
      </c>
      <c r="CZ24" s="139">
        <f>'[4]Skolēnu Pils'!CZ24+'[4]Laimīte'!CZ24+'[4]Daugmale'!CZ24+'[4]Altona'!CZ24+'[4]Šaha'!CZ24+'[4]BSKR_Rīga'!CZ24</f>
        <v>0</v>
      </c>
      <c r="DA24" s="137"/>
      <c r="DB24" s="152">
        <v>0</v>
      </c>
      <c r="DC24" s="148" t="s">
        <v>315</v>
      </c>
      <c r="DD24" s="145" t="e">
        <v>#DIV/0!</v>
      </c>
      <c r="DE24" s="152">
        <v>0</v>
      </c>
      <c r="DF24" s="158"/>
      <c r="DG24" s="144">
        <v>0</v>
      </c>
      <c r="DH24" s="144" t="s">
        <v>315</v>
      </c>
      <c r="DI24" s="144" t="e">
        <v>#DIV/0!</v>
      </c>
      <c r="DJ24" s="144">
        <v>0</v>
      </c>
      <c r="DK24" s="137"/>
      <c r="DL24" s="42"/>
      <c r="DM24" s="2" t="s">
        <v>315</v>
      </c>
      <c r="DN24" s="43" t="e">
        <f t="shared" si="29"/>
        <v>#DIV/0!</v>
      </c>
      <c r="DO24" s="52"/>
      <c r="DP24" s="137"/>
      <c r="DQ24" s="42">
        <v>1</v>
      </c>
      <c r="DR24" s="2" t="s">
        <v>315</v>
      </c>
      <c r="DS24" s="43">
        <f t="shared" si="30"/>
        <v>703</v>
      </c>
      <c r="DT24" s="52">
        <v>703</v>
      </c>
    </row>
    <row r="25" spans="1:124" ht="33">
      <c r="A25" s="3" t="s">
        <v>3</v>
      </c>
      <c r="B25" s="4" t="s">
        <v>64</v>
      </c>
      <c r="C25" s="6" t="s">
        <v>110</v>
      </c>
      <c r="D25" s="43">
        <f t="shared" si="25"/>
        <v>1</v>
      </c>
      <c r="E25" s="2" t="s">
        <v>315</v>
      </c>
      <c r="F25" s="43">
        <f t="shared" si="26"/>
        <v>700</v>
      </c>
      <c r="G25" s="59">
        <f t="shared" si="31"/>
        <v>561</v>
      </c>
      <c r="J25" s="52">
        <f>1</f>
        <v>1</v>
      </c>
      <c r="K25" s="52">
        <f>561</f>
        <v>561</v>
      </c>
      <c r="L25" s="77">
        <f t="shared" si="32"/>
        <v>561</v>
      </c>
      <c r="M25" s="52"/>
      <c r="N25" s="52"/>
      <c r="O25" s="52" t="e">
        <f t="shared" si="33"/>
        <v>#DIV/0!</v>
      </c>
      <c r="P25" s="52"/>
      <c r="Q25" s="52"/>
      <c r="R25" s="52" t="e">
        <f t="shared" si="34"/>
        <v>#DIV/0!</v>
      </c>
      <c r="S25" s="52"/>
      <c r="T25" s="52"/>
      <c r="U25" s="52" t="e">
        <f t="shared" si="35"/>
        <v>#DIV/0!</v>
      </c>
      <c r="V25" s="52"/>
      <c r="W25" s="52"/>
      <c r="X25" s="52" t="e">
        <f t="shared" si="36"/>
        <v>#DIV/0!</v>
      </c>
      <c r="Y25" s="52"/>
      <c r="Z25" s="52"/>
      <c r="AA25" s="52" t="e">
        <f t="shared" si="37"/>
        <v>#DIV/0!</v>
      </c>
      <c r="AB25" s="52"/>
      <c r="AC25" s="52"/>
      <c r="AD25" s="52" t="e">
        <f t="shared" si="38"/>
        <v>#DIV/0!</v>
      </c>
      <c r="AE25" s="52"/>
      <c r="AF25" s="52"/>
      <c r="AG25" s="52" t="e">
        <f t="shared" si="39"/>
        <v>#DIV/0!</v>
      </c>
      <c r="AH25" s="52"/>
      <c r="AI25" s="52"/>
      <c r="AJ25" s="52" t="e">
        <f t="shared" si="40"/>
        <v>#DIV/0!</v>
      </c>
      <c r="AK25" s="52"/>
      <c r="AL25" s="52"/>
      <c r="AM25" s="52" t="e">
        <f t="shared" si="41"/>
        <v>#DIV/0!</v>
      </c>
      <c r="AN25" s="52"/>
      <c r="AO25" s="52"/>
      <c r="AP25" s="52" t="e">
        <f t="shared" si="42"/>
        <v>#DIV/0!</v>
      </c>
      <c r="AQ25" s="52"/>
      <c r="AR25" s="52"/>
      <c r="AS25" s="52" t="e">
        <f t="shared" si="43"/>
        <v>#DIV/0!</v>
      </c>
      <c r="AT25" s="52"/>
      <c r="AU25" s="52"/>
      <c r="AV25" s="52" t="e">
        <f t="shared" si="44"/>
        <v>#DIV/0!</v>
      </c>
      <c r="AW25" s="52"/>
      <c r="AX25" s="52"/>
      <c r="AY25" s="52" t="e">
        <f t="shared" si="45"/>
        <v>#DIV/0!</v>
      </c>
      <c r="AZ25" s="52"/>
      <c r="BA25" s="52"/>
      <c r="BB25" s="52" t="e">
        <f t="shared" si="46"/>
        <v>#DIV/0!</v>
      </c>
      <c r="BC25" s="52"/>
      <c r="BD25" s="52"/>
      <c r="BE25" s="52" t="e">
        <f t="shared" si="47"/>
        <v>#DIV/0!</v>
      </c>
      <c r="BF25" s="52"/>
      <c r="BG25" s="52"/>
      <c r="BH25" s="52" t="e">
        <f t="shared" si="48"/>
        <v>#DIV/0!</v>
      </c>
      <c r="BI25" s="52"/>
      <c r="BJ25" s="52"/>
      <c r="BK25" s="52" t="e">
        <f t="shared" si="49"/>
        <v>#DIV/0!</v>
      </c>
      <c r="BL25" s="52"/>
      <c r="BM25" s="52"/>
      <c r="BN25" s="52" t="e">
        <f t="shared" si="50"/>
        <v>#DIV/0!</v>
      </c>
      <c r="BO25" s="52"/>
      <c r="BP25" s="52"/>
      <c r="BQ25" s="52" t="e">
        <f t="shared" si="51"/>
        <v>#DIV/0!</v>
      </c>
      <c r="BR25" s="52"/>
      <c r="BS25" s="52"/>
      <c r="BT25" s="52" t="e">
        <f t="shared" si="52"/>
        <v>#DIV/0!</v>
      </c>
      <c r="BU25" s="52"/>
      <c r="BV25" s="52"/>
      <c r="BW25" s="52" t="e">
        <f t="shared" si="53"/>
        <v>#DIV/0!</v>
      </c>
      <c r="BX25" s="52"/>
      <c r="BY25" s="52"/>
      <c r="BZ25" s="52" t="e">
        <f t="shared" si="54"/>
        <v>#DIV/0!</v>
      </c>
      <c r="CA25" s="52"/>
      <c r="CB25" s="52"/>
      <c r="CC25" s="52" t="e">
        <f t="shared" si="55"/>
        <v>#DIV/0!</v>
      </c>
      <c r="CD25" s="33"/>
      <c r="CG25" s="59">
        <f>CF25*CH25</f>
        <v>0</v>
      </c>
      <c r="CP25" s="80">
        <f t="shared" si="27"/>
        <v>700</v>
      </c>
      <c r="CR25" s="145">
        <v>1</v>
      </c>
      <c r="CS25" s="148" t="s">
        <v>315</v>
      </c>
      <c r="CT25" s="145">
        <v>700</v>
      </c>
      <c r="CU25" s="147">
        <v>700</v>
      </c>
      <c r="CW25" s="43">
        <f>'[4]Skolēnu Pils'!CW25+'[4]Laimīte'!CW25+'[4]Daugmale'!CW25+'[4]Altona'!CW25+'[4]Šaha'!CW25+'[4]BSKR_Rīga'!CW25</f>
        <v>0</v>
      </c>
      <c r="CX25" s="2" t="s">
        <v>315</v>
      </c>
      <c r="CY25" s="43" t="e">
        <f t="shared" si="28"/>
        <v>#DIV/0!</v>
      </c>
      <c r="CZ25" s="139">
        <f>'[4]Skolēnu Pils'!CZ25+'[4]Laimīte'!CZ25+'[4]Daugmale'!CZ25+'[4]Altona'!CZ25+'[4]Šaha'!CZ25+'[4]BSKR_Rīga'!CZ25</f>
        <v>0</v>
      </c>
      <c r="DB25" s="152">
        <v>0</v>
      </c>
      <c r="DC25" s="148" t="s">
        <v>315</v>
      </c>
      <c r="DD25" s="145" t="e">
        <v>#DIV/0!</v>
      </c>
      <c r="DE25" s="152">
        <v>0</v>
      </c>
      <c r="DG25" s="160">
        <v>0</v>
      </c>
      <c r="DH25" s="160" t="s">
        <v>315</v>
      </c>
      <c r="DI25" s="160" t="e">
        <v>#DIV/0!</v>
      </c>
      <c r="DJ25" s="160">
        <v>0</v>
      </c>
      <c r="DL25" s="42"/>
      <c r="DM25" s="2" t="s">
        <v>315</v>
      </c>
      <c r="DN25" s="43" t="e">
        <f t="shared" si="29"/>
        <v>#DIV/0!</v>
      </c>
      <c r="DO25" s="52"/>
      <c r="DQ25" s="42"/>
      <c r="DR25" s="2" t="s">
        <v>315</v>
      </c>
      <c r="DS25" s="43" t="e">
        <f t="shared" si="30"/>
        <v>#DIV/0!</v>
      </c>
      <c r="DT25" s="52"/>
    </row>
    <row r="26" spans="1:124" ht="33">
      <c r="A26" s="3" t="s">
        <v>3</v>
      </c>
      <c r="B26" s="4" t="s">
        <v>64</v>
      </c>
      <c r="C26" s="6" t="s">
        <v>82</v>
      </c>
      <c r="D26" s="43">
        <f t="shared" si="25"/>
        <v>3.2</v>
      </c>
      <c r="E26" s="2" t="s">
        <v>315</v>
      </c>
      <c r="F26" s="43">
        <f t="shared" si="26"/>
        <v>464.0625</v>
      </c>
      <c r="G26" s="59">
        <f t="shared" si="31"/>
        <v>959</v>
      </c>
      <c r="J26" s="52"/>
      <c r="K26" s="52"/>
      <c r="L26" s="77" t="e">
        <f t="shared" si="32"/>
        <v>#DIV/0!</v>
      </c>
      <c r="M26" s="52">
        <f>0.5</f>
        <v>0.5</v>
      </c>
      <c r="N26" s="52">
        <f>235</f>
        <v>235</v>
      </c>
      <c r="O26" s="52">
        <f t="shared" si="33"/>
        <v>470</v>
      </c>
      <c r="P26" s="52"/>
      <c r="Q26" s="52"/>
      <c r="R26" s="52" t="e">
        <f t="shared" si="34"/>
        <v>#DIV/0!</v>
      </c>
      <c r="S26" s="52"/>
      <c r="T26" s="52"/>
      <c r="U26" s="52" t="e">
        <f t="shared" si="35"/>
        <v>#DIV/0!</v>
      </c>
      <c r="V26" s="52"/>
      <c r="W26" s="52"/>
      <c r="X26" s="52" t="e">
        <f t="shared" si="36"/>
        <v>#DIV/0!</v>
      </c>
      <c r="Y26" s="52"/>
      <c r="Z26" s="52"/>
      <c r="AA26" s="52" t="e">
        <f t="shared" si="37"/>
        <v>#DIV/0!</v>
      </c>
      <c r="AB26" s="52"/>
      <c r="AC26" s="52"/>
      <c r="AD26" s="52" t="e">
        <f t="shared" si="38"/>
        <v>#DIV/0!</v>
      </c>
      <c r="AE26" s="52">
        <f>0.2</f>
        <v>0.2</v>
      </c>
      <c r="AF26" s="52">
        <f>104</f>
        <v>104</v>
      </c>
      <c r="AG26" s="52">
        <f t="shared" si="39"/>
        <v>520</v>
      </c>
      <c r="AH26" s="52">
        <v>0.5</v>
      </c>
      <c r="AI26" s="52">
        <f>240</f>
        <v>240</v>
      </c>
      <c r="AJ26" s="52">
        <f t="shared" si="40"/>
        <v>480</v>
      </c>
      <c r="AK26" s="52"/>
      <c r="AL26" s="52"/>
      <c r="AM26" s="52" t="e">
        <f t="shared" si="41"/>
        <v>#DIV/0!</v>
      </c>
      <c r="AN26" s="52"/>
      <c r="AO26" s="52"/>
      <c r="AP26" s="52" t="e">
        <f t="shared" si="42"/>
        <v>#DIV/0!</v>
      </c>
      <c r="AQ26" s="52">
        <f>1</f>
        <v>1</v>
      </c>
      <c r="AR26" s="52">
        <f>380</f>
        <v>380</v>
      </c>
      <c r="AS26" s="52">
        <f t="shared" si="43"/>
        <v>380</v>
      </c>
      <c r="AT26" s="52"/>
      <c r="AU26" s="52"/>
      <c r="AV26" s="52" t="e">
        <f t="shared" si="44"/>
        <v>#DIV/0!</v>
      </c>
      <c r="AW26" s="52"/>
      <c r="AX26" s="52"/>
      <c r="AY26" s="52" t="e">
        <f t="shared" si="45"/>
        <v>#DIV/0!</v>
      </c>
      <c r="AZ26" s="52"/>
      <c r="BA26" s="52"/>
      <c r="BB26" s="52" t="e">
        <f t="shared" si="46"/>
        <v>#DIV/0!</v>
      </c>
      <c r="BC26" s="52"/>
      <c r="BD26" s="52"/>
      <c r="BE26" s="52" t="e">
        <f t="shared" si="47"/>
        <v>#DIV/0!</v>
      </c>
      <c r="BF26" s="52"/>
      <c r="BG26" s="52"/>
      <c r="BH26" s="52" t="e">
        <f t="shared" si="48"/>
        <v>#DIV/0!</v>
      </c>
      <c r="BI26" s="52"/>
      <c r="BJ26" s="52"/>
      <c r="BK26" s="52" t="e">
        <f t="shared" si="49"/>
        <v>#DIV/0!</v>
      </c>
      <c r="BL26" s="52"/>
      <c r="BM26" s="52"/>
      <c r="BN26" s="52" t="e">
        <f t="shared" si="50"/>
        <v>#DIV/0!</v>
      </c>
      <c r="BO26" s="52"/>
      <c r="BP26" s="52"/>
      <c r="BQ26" s="52" t="e">
        <f t="shared" si="51"/>
        <v>#DIV/0!</v>
      </c>
      <c r="BR26" s="52"/>
      <c r="BS26" s="52"/>
      <c r="BT26" s="52" t="e">
        <f t="shared" si="52"/>
        <v>#DIV/0!</v>
      </c>
      <c r="BU26" s="52"/>
      <c r="BV26" s="52"/>
      <c r="BW26" s="52" t="e">
        <f t="shared" si="53"/>
        <v>#DIV/0!</v>
      </c>
      <c r="BX26" s="52"/>
      <c r="BY26" s="52"/>
      <c r="BZ26" s="52" t="e">
        <f t="shared" si="54"/>
        <v>#DIV/0!</v>
      </c>
      <c r="CA26" s="52"/>
      <c r="CB26" s="52"/>
      <c r="CC26" s="52" t="e">
        <f t="shared" si="55"/>
        <v>#DIV/0!</v>
      </c>
      <c r="CD26" s="33"/>
      <c r="CH26" s="59">
        <f>CF26*CG26</f>
        <v>0</v>
      </c>
      <c r="CP26" s="80">
        <f t="shared" si="27"/>
        <v>1485</v>
      </c>
      <c r="CR26" s="145">
        <v>1.5</v>
      </c>
      <c r="CS26" s="148" t="s">
        <v>315</v>
      </c>
      <c r="CT26" s="145">
        <v>452</v>
      </c>
      <c r="CU26" s="147">
        <v>678</v>
      </c>
      <c r="CW26" s="43">
        <f>'[4]Skolēnu Pils'!CW26+'[4]Laimīte'!CW26+'[4]Daugmale'!CW26+'[4]Altona'!CW26+'[4]Šaha'!CW26+'[4]BSKR_Rīga'!CW26</f>
        <v>0</v>
      </c>
      <c r="CX26" s="2" t="s">
        <v>315</v>
      </c>
      <c r="CY26" s="43" t="e">
        <f t="shared" si="28"/>
        <v>#DIV/0!</v>
      </c>
      <c r="CZ26" s="139">
        <f>'[4]Skolēnu Pils'!CZ26+'[4]Laimīte'!CZ26+'[4]Daugmale'!CZ26+'[4]Altona'!CZ26+'[4]Šaha'!CZ26+'[4]BSKR_Rīga'!CZ26</f>
        <v>0</v>
      </c>
      <c r="DB26" s="152">
        <v>1.7</v>
      </c>
      <c r="DC26" s="148" t="s">
        <v>315</v>
      </c>
      <c r="DD26" s="145">
        <v>474.7058823529412</v>
      </c>
      <c r="DE26" s="152">
        <v>807</v>
      </c>
      <c r="DG26" s="160">
        <v>0</v>
      </c>
      <c r="DH26" s="160" t="s">
        <v>315</v>
      </c>
      <c r="DI26" s="160" t="e">
        <v>#DIV/0!</v>
      </c>
      <c r="DJ26" s="160">
        <v>0</v>
      </c>
      <c r="DL26" s="42"/>
      <c r="DM26" s="2" t="s">
        <v>315</v>
      </c>
      <c r="DN26" s="43" t="e">
        <f t="shared" si="29"/>
        <v>#DIV/0!</v>
      </c>
      <c r="DO26" s="52"/>
      <c r="DQ26" s="42"/>
      <c r="DR26" s="2" t="s">
        <v>315</v>
      </c>
      <c r="DS26" s="43" t="e">
        <f t="shared" si="30"/>
        <v>#DIV/0!</v>
      </c>
      <c r="DT26" s="52"/>
    </row>
    <row r="27" spans="1:124" ht="17.25">
      <c r="A27" s="3" t="s">
        <v>3</v>
      </c>
      <c r="B27" s="4" t="s">
        <v>64</v>
      </c>
      <c r="C27" s="6" t="s">
        <v>134</v>
      </c>
      <c r="D27" s="43">
        <f t="shared" si="25"/>
        <v>8.5</v>
      </c>
      <c r="E27" s="8" t="s">
        <v>314</v>
      </c>
      <c r="F27" s="43">
        <f t="shared" si="26"/>
        <v>565.8823529411765</v>
      </c>
      <c r="G27" s="59">
        <f t="shared" si="31"/>
        <v>4694.5</v>
      </c>
      <c r="J27" s="52"/>
      <c r="K27" s="52"/>
      <c r="L27" s="77" t="e">
        <f t="shared" si="32"/>
        <v>#DIV/0!</v>
      </c>
      <c r="M27" s="52"/>
      <c r="N27" s="52"/>
      <c r="O27" s="52" t="e">
        <f t="shared" si="33"/>
        <v>#DIV/0!</v>
      </c>
      <c r="P27" s="52"/>
      <c r="Q27" s="52"/>
      <c r="R27" s="52" t="e">
        <f t="shared" si="34"/>
        <v>#DIV/0!</v>
      </c>
      <c r="S27" s="52"/>
      <c r="T27" s="52"/>
      <c r="U27" s="52" t="e">
        <f t="shared" si="35"/>
        <v>#DIV/0!</v>
      </c>
      <c r="V27" s="52">
        <f>1</f>
        <v>1</v>
      </c>
      <c r="W27" s="52">
        <f>548</f>
        <v>548</v>
      </c>
      <c r="X27" s="52">
        <f t="shared" si="36"/>
        <v>548</v>
      </c>
      <c r="Y27" s="52"/>
      <c r="Z27" s="52"/>
      <c r="AA27" s="52" t="e">
        <f t="shared" si="37"/>
        <v>#DIV/0!</v>
      </c>
      <c r="AB27" s="52">
        <f>0.5</f>
        <v>0.5</v>
      </c>
      <c r="AC27" s="52">
        <f>228</f>
        <v>228</v>
      </c>
      <c r="AD27" s="52">
        <f t="shared" si="38"/>
        <v>456</v>
      </c>
      <c r="AE27" s="52"/>
      <c r="AF27" s="52"/>
      <c r="AG27" s="52" t="e">
        <f t="shared" si="39"/>
        <v>#DIV/0!</v>
      </c>
      <c r="AH27" s="52"/>
      <c r="AI27" s="52"/>
      <c r="AJ27" s="52" t="e">
        <f t="shared" si="40"/>
        <v>#DIV/0!</v>
      </c>
      <c r="AK27" s="52"/>
      <c r="AL27" s="52"/>
      <c r="AM27" s="52" t="e">
        <f t="shared" si="41"/>
        <v>#DIV/0!</v>
      </c>
      <c r="AN27" s="52"/>
      <c r="AO27" s="52"/>
      <c r="AP27" s="52" t="e">
        <f t="shared" si="42"/>
        <v>#DIV/0!</v>
      </c>
      <c r="AQ27" s="52"/>
      <c r="AR27" s="52"/>
      <c r="AS27" s="52" t="e">
        <f t="shared" si="43"/>
        <v>#DIV/0!</v>
      </c>
      <c r="AT27" s="52"/>
      <c r="AU27" s="52"/>
      <c r="AV27" s="52" t="e">
        <f t="shared" si="44"/>
        <v>#DIV/0!</v>
      </c>
      <c r="AW27" s="52"/>
      <c r="AX27" s="52"/>
      <c r="AY27" s="52" t="e">
        <f t="shared" si="45"/>
        <v>#DIV/0!</v>
      </c>
      <c r="AZ27" s="52"/>
      <c r="BA27" s="52"/>
      <c r="BB27" s="52" t="e">
        <f t="shared" si="46"/>
        <v>#DIV/0!</v>
      </c>
      <c r="BC27" s="52"/>
      <c r="BD27" s="52"/>
      <c r="BE27" s="52" t="e">
        <f t="shared" si="47"/>
        <v>#DIV/0!</v>
      </c>
      <c r="BF27" s="52">
        <f>1+1+1+1</f>
        <v>4</v>
      </c>
      <c r="BG27" s="52">
        <f>432+548+548+432</f>
        <v>1960</v>
      </c>
      <c r="BH27" s="52">
        <f t="shared" si="48"/>
        <v>490</v>
      </c>
      <c r="BI27" s="52"/>
      <c r="BJ27" s="52"/>
      <c r="BK27" s="52" t="e">
        <f t="shared" si="49"/>
        <v>#DIV/0!</v>
      </c>
      <c r="BL27" s="52"/>
      <c r="BM27" s="52"/>
      <c r="BN27" s="52" t="e">
        <f t="shared" si="50"/>
        <v>#DIV/0!</v>
      </c>
      <c r="BO27" s="52"/>
      <c r="BP27" s="52"/>
      <c r="BQ27" s="52" t="e">
        <f t="shared" si="51"/>
        <v>#DIV/0!</v>
      </c>
      <c r="BR27" s="52"/>
      <c r="BS27" s="52"/>
      <c r="BT27" s="52" t="e">
        <f t="shared" si="52"/>
        <v>#DIV/0!</v>
      </c>
      <c r="BU27" s="52"/>
      <c r="BV27" s="52"/>
      <c r="BW27" s="52" t="e">
        <f t="shared" si="53"/>
        <v>#DIV/0!</v>
      </c>
      <c r="BX27" s="52"/>
      <c r="BY27" s="52"/>
      <c r="BZ27" s="52" t="e">
        <f t="shared" si="54"/>
        <v>#DIV/0!</v>
      </c>
      <c r="CA27" s="52">
        <f>1+1+1+0.6</f>
        <v>3.6</v>
      </c>
      <c r="CB27" s="52">
        <f>2*274+548+548+314.5</f>
        <v>1958.5</v>
      </c>
      <c r="CC27" s="52">
        <f t="shared" si="55"/>
        <v>544.0277777777777</v>
      </c>
      <c r="CD27" s="33"/>
      <c r="CH27" s="59">
        <f>CF27*CG27</f>
        <v>0</v>
      </c>
      <c r="CP27" s="80">
        <f t="shared" si="27"/>
        <v>4810</v>
      </c>
      <c r="CR27" s="145">
        <v>3</v>
      </c>
      <c r="CS27" s="146" t="s">
        <v>314</v>
      </c>
      <c r="CT27" s="145">
        <v>610</v>
      </c>
      <c r="CU27" s="147">
        <v>1830</v>
      </c>
      <c r="CW27" s="43">
        <f>'[4]Skolēnu Pils'!CW27+'[4]Laimīte'!CW27+'[4]Daugmale'!CW27+'[4]Altona'!CW27+'[4]Šaha'!CW27+'[4]BSKR_Rīga'!CW27</f>
        <v>0</v>
      </c>
      <c r="CX27" s="8" t="s">
        <v>314</v>
      </c>
      <c r="CY27" s="43" t="e">
        <f t="shared" si="28"/>
        <v>#DIV/0!</v>
      </c>
      <c r="CZ27" s="139">
        <f>'[4]Skolēnu Pils'!CZ27+'[4]Laimīte'!CZ27+'[4]Daugmale'!CZ27+'[4]Altona'!CZ27+'[4]Šaha'!CZ27+'[4]BSKR_Rīga'!CZ27</f>
        <v>0</v>
      </c>
      <c r="DB27" s="152">
        <v>1.5</v>
      </c>
      <c r="DC27" s="146" t="s">
        <v>314</v>
      </c>
      <c r="DD27" s="145">
        <v>560</v>
      </c>
      <c r="DE27" s="152">
        <v>840</v>
      </c>
      <c r="DG27" s="160">
        <v>4</v>
      </c>
      <c r="DH27" s="160" t="s">
        <v>314</v>
      </c>
      <c r="DI27" s="160">
        <v>535</v>
      </c>
      <c r="DJ27" s="160">
        <v>2140</v>
      </c>
      <c r="DL27" s="42"/>
      <c r="DM27" s="8" t="s">
        <v>314</v>
      </c>
      <c r="DN27" s="43" t="e">
        <f t="shared" si="29"/>
        <v>#DIV/0!</v>
      </c>
      <c r="DO27" s="52"/>
      <c r="DQ27" s="42"/>
      <c r="DR27" s="8" t="s">
        <v>314</v>
      </c>
      <c r="DS27" s="43" t="e">
        <f t="shared" si="30"/>
        <v>#DIV/0!</v>
      </c>
      <c r="DT27" s="52"/>
    </row>
    <row r="28" spans="1:124" ht="17.25">
      <c r="A28" s="3" t="s">
        <v>3</v>
      </c>
      <c r="B28" s="2" t="s">
        <v>4</v>
      </c>
      <c r="C28" s="6" t="s">
        <v>12</v>
      </c>
      <c r="D28" s="43">
        <f t="shared" si="25"/>
        <v>12.5</v>
      </c>
      <c r="E28" s="8" t="s">
        <v>314</v>
      </c>
      <c r="F28" s="43">
        <f t="shared" si="26"/>
        <v>500.24</v>
      </c>
      <c r="G28" s="59">
        <f t="shared" si="31"/>
        <v>4537</v>
      </c>
      <c r="J28" s="52"/>
      <c r="K28" s="52"/>
      <c r="L28" s="77" t="e">
        <f t="shared" si="32"/>
        <v>#DIV/0!</v>
      </c>
      <c r="M28" s="52"/>
      <c r="N28" s="52"/>
      <c r="O28" s="52" t="e">
        <f t="shared" si="33"/>
        <v>#DIV/0!</v>
      </c>
      <c r="P28" s="52"/>
      <c r="Q28" s="52"/>
      <c r="R28" s="52" t="e">
        <f t="shared" si="34"/>
        <v>#DIV/0!</v>
      </c>
      <c r="S28" s="52"/>
      <c r="T28" s="52"/>
      <c r="U28" s="52" t="e">
        <f t="shared" si="35"/>
        <v>#DIV/0!</v>
      </c>
      <c r="V28" s="52"/>
      <c r="W28" s="52"/>
      <c r="X28" s="52" t="e">
        <f t="shared" si="36"/>
        <v>#DIV/0!</v>
      </c>
      <c r="Y28" s="52"/>
      <c r="Z28" s="52"/>
      <c r="AA28" s="52" t="e">
        <f t="shared" si="37"/>
        <v>#DIV/0!</v>
      </c>
      <c r="AB28" s="52"/>
      <c r="AC28" s="52"/>
      <c r="AD28" s="52" t="e">
        <f t="shared" si="38"/>
        <v>#DIV/0!</v>
      </c>
      <c r="AE28" s="52"/>
      <c r="AF28" s="52"/>
      <c r="AG28" s="52" t="e">
        <f t="shared" si="39"/>
        <v>#DIV/0!</v>
      </c>
      <c r="AH28" s="52"/>
      <c r="AI28" s="52"/>
      <c r="AJ28" s="52" t="e">
        <f t="shared" si="40"/>
        <v>#DIV/0!</v>
      </c>
      <c r="AK28" s="52"/>
      <c r="AL28" s="52"/>
      <c r="AM28" s="52" t="e">
        <f t="shared" si="41"/>
        <v>#DIV/0!</v>
      </c>
      <c r="AN28" s="52"/>
      <c r="AO28" s="52"/>
      <c r="AP28" s="52" t="e">
        <f t="shared" si="42"/>
        <v>#DIV/0!</v>
      </c>
      <c r="AQ28" s="52"/>
      <c r="AR28" s="52"/>
      <c r="AS28" s="52" t="e">
        <f t="shared" si="43"/>
        <v>#DIV/0!</v>
      </c>
      <c r="AT28" s="52"/>
      <c r="AU28" s="52"/>
      <c r="AV28" s="52" t="e">
        <f t="shared" si="44"/>
        <v>#DIV/0!</v>
      </c>
      <c r="AW28" s="52">
        <f>4</f>
        <v>4</v>
      </c>
      <c r="AX28" s="52">
        <f>4*430</f>
        <v>1720</v>
      </c>
      <c r="AY28" s="52">
        <f t="shared" si="45"/>
        <v>430</v>
      </c>
      <c r="AZ28" s="52"/>
      <c r="BA28" s="52"/>
      <c r="BB28" s="52" t="e">
        <f t="shared" si="46"/>
        <v>#DIV/0!</v>
      </c>
      <c r="BC28" s="52"/>
      <c r="BD28" s="52"/>
      <c r="BE28" s="52" t="e">
        <f t="shared" si="47"/>
        <v>#DIV/0!</v>
      </c>
      <c r="BF28" s="52"/>
      <c r="BG28" s="52"/>
      <c r="BH28" s="52" t="e">
        <f t="shared" si="48"/>
        <v>#DIV/0!</v>
      </c>
      <c r="BI28" s="52"/>
      <c r="BJ28" s="52"/>
      <c r="BK28" s="52" t="e">
        <f t="shared" si="49"/>
        <v>#DIV/0!</v>
      </c>
      <c r="BL28" s="52"/>
      <c r="BM28" s="52"/>
      <c r="BN28" s="52" t="e">
        <f t="shared" si="50"/>
        <v>#DIV/0!</v>
      </c>
      <c r="BO28" s="52"/>
      <c r="BP28" s="52"/>
      <c r="BQ28" s="52" t="e">
        <f t="shared" si="51"/>
        <v>#DIV/0!</v>
      </c>
      <c r="BR28" s="52"/>
      <c r="BS28" s="52"/>
      <c r="BT28" s="52" t="e">
        <f t="shared" si="52"/>
        <v>#DIV/0!</v>
      </c>
      <c r="BU28" s="52"/>
      <c r="BV28" s="52"/>
      <c r="BW28" s="52" t="e">
        <f t="shared" si="53"/>
        <v>#DIV/0!</v>
      </c>
      <c r="BX28" s="52">
        <f>3</f>
        <v>3</v>
      </c>
      <c r="BY28" s="52">
        <f>3*391</f>
        <v>1173</v>
      </c>
      <c r="BZ28" s="52">
        <f t="shared" si="54"/>
        <v>391</v>
      </c>
      <c r="CA28" s="52">
        <f>1+1.5+0.5</f>
        <v>3</v>
      </c>
      <c r="CB28" s="52">
        <f>548+548+274+274</f>
        <v>1644</v>
      </c>
      <c r="CC28" s="52">
        <f t="shared" si="55"/>
        <v>548</v>
      </c>
      <c r="CD28" s="33"/>
      <c r="CP28" s="80">
        <f t="shared" si="27"/>
        <v>6253</v>
      </c>
      <c r="CR28" s="145">
        <v>2.5</v>
      </c>
      <c r="CS28" s="146" t="s">
        <v>314</v>
      </c>
      <c r="CT28" s="145">
        <v>610</v>
      </c>
      <c r="CU28" s="147">
        <v>1525</v>
      </c>
      <c r="CW28" s="43">
        <f>'[4]Skolēnu Pils'!CW28+'[4]Laimīte'!CW28+'[4]Daugmale'!CW28+'[4]Altona'!CW28+'[4]Šaha'!CW28+'[4]BSKR_Rīga'!CW28</f>
        <v>0</v>
      </c>
      <c r="CX28" s="8" t="s">
        <v>314</v>
      </c>
      <c r="CY28" s="43" t="e">
        <f t="shared" si="28"/>
        <v>#DIV/0!</v>
      </c>
      <c r="CZ28" s="139">
        <f>'[4]Skolēnu Pils'!CZ28+'[4]Laimīte'!CZ28+'[4]Daugmale'!CZ28+'[4]Altona'!CZ28+'[4]Šaha'!CZ28+'[4]BSKR_Rīga'!CZ28</f>
        <v>0</v>
      </c>
      <c r="DB28" s="152">
        <v>0</v>
      </c>
      <c r="DC28" s="146" t="s">
        <v>314</v>
      </c>
      <c r="DD28" s="145" t="e">
        <v>#DIV/0!</v>
      </c>
      <c r="DE28" s="152">
        <v>0</v>
      </c>
      <c r="DG28" s="160">
        <v>10</v>
      </c>
      <c r="DH28" s="160" t="s">
        <v>314</v>
      </c>
      <c r="DI28" s="160">
        <v>472.8</v>
      </c>
      <c r="DJ28" s="160">
        <v>4728</v>
      </c>
      <c r="DL28" s="42"/>
      <c r="DM28" s="8" t="s">
        <v>314</v>
      </c>
      <c r="DN28" s="43" t="e">
        <f t="shared" si="29"/>
        <v>#DIV/0!</v>
      </c>
      <c r="DO28" s="52"/>
      <c r="DQ28" s="42"/>
      <c r="DR28" s="8" t="s">
        <v>314</v>
      </c>
      <c r="DS28" s="43" t="e">
        <f t="shared" si="30"/>
        <v>#DIV/0!</v>
      </c>
      <c r="DT28" s="52"/>
    </row>
    <row r="29" spans="1:124" ht="17.25">
      <c r="A29" s="3" t="s">
        <v>3</v>
      </c>
      <c r="B29" s="4" t="s">
        <v>4</v>
      </c>
      <c r="C29" s="6" t="s">
        <v>111</v>
      </c>
      <c r="D29" s="43">
        <f t="shared" si="25"/>
        <v>2</v>
      </c>
      <c r="E29" s="8" t="s">
        <v>316</v>
      </c>
      <c r="F29" s="43">
        <f t="shared" si="26"/>
        <v>430</v>
      </c>
      <c r="G29" s="59">
        <f t="shared" si="31"/>
        <v>760</v>
      </c>
      <c r="I29" s="60"/>
      <c r="J29" s="53"/>
      <c r="K29" s="53"/>
      <c r="L29" s="77" t="e">
        <f t="shared" si="32"/>
        <v>#DIV/0!</v>
      </c>
      <c r="M29" s="53"/>
      <c r="N29" s="53"/>
      <c r="O29" s="52" t="e">
        <f t="shared" si="33"/>
        <v>#DIV/0!</v>
      </c>
      <c r="P29" s="53"/>
      <c r="Q29" s="53"/>
      <c r="R29" s="52" t="e">
        <f t="shared" si="34"/>
        <v>#DIV/0!</v>
      </c>
      <c r="S29" s="53"/>
      <c r="T29" s="53"/>
      <c r="U29" s="52" t="e">
        <f t="shared" si="35"/>
        <v>#DIV/0!</v>
      </c>
      <c r="V29" s="53"/>
      <c r="W29" s="53"/>
      <c r="X29" s="52" t="e">
        <f t="shared" si="36"/>
        <v>#DIV/0!</v>
      </c>
      <c r="Y29" s="53"/>
      <c r="Z29" s="53"/>
      <c r="AA29" s="52" t="e">
        <f t="shared" si="37"/>
        <v>#DIV/0!</v>
      </c>
      <c r="AB29" s="53">
        <f>1</f>
        <v>1</v>
      </c>
      <c r="AC29" s="53">
        <f>2*190</f>
        <v>380</v>
      </c>
      <c r="AD29" s="52">
        <f t="shared" si="38"/>
        <v>380</v>
      </c>
      <c r="AE29" s="53"/>
      <c r="AF29" s="53"/>
      <c r="AG29" s="52" t="e">
        <f t="shared" si="39"/>
        <v>#DIV/0!</v>
      </c>
      <c r="AH29" s="53"/>
      <c r="AI29" s="53"/>
      <c r="AJ29" s="52" t="e">
        <f t="shared" si="40"/>
        <v>#DIV/0!</v>
      </c>
      <c r="AK29" s="53"/>
      <c r="AL29" s="53"/>
      <c r="AM29" s="52" t="e">
        <f t="shared" si="41"/>
        <v>#DIV/0!</v>
      </c>
      <c r="AN29" s="53"/>
      <c r="AO29" s="53"/>
      <c r="AP29" s="52" t="e">
        <f t="shared" si="42"/>
        <v>#DIV/0!</v>
      </c>
      <c r="AQ29" s="53"/>
      <c r="AR29" s="53"/>
      <c r="AS29" s="52" t="e">
        <f t="shared" si="43"/>
        <v>#DIV/0!</v>
      </c>
      <c r="AT29" s="53"/>
      <c r="AU29" s="53"/>
      <c r="AV29" s="52" t="e">
        <f t="shared" si="44"/>
        <v>#DIV/0!</v>
      </c>
      <c r="AW29" s="53"/>
      <c r="AX29" s="53"/>
      <c r="AY29" s="52" t="e">
        <f t="shared" si="45"/>
        <v>#DIV/0!</v>
      </c>
      <c r="AZ29" s="53"/>
      <c r="BA29" s="53"/>
      <c r="BB29" s="52" t="e">
        <f t="shared" si="46"/>
        <v>#DIV/0!</v>
      </c>
      <c r="BC29" s="53"/>
      <c r="BD29" s="53"/>
      <c r="BE29" s="52" t="e">
        <f t="shared" si="47"/>
        <v>#DIV/0!</v>
      </c>
      <c r="BF29" s="53"/>
      <c r="BG29" s="53"/>
      <c r="BH29" s="52" t="e">
        <f t="shared" si="48"/>
        <v>#DIV/0!</v>
      </c>
      <c r="BI29" s="53"/>
      <c r="BJ29" s="53"/>
      <c r="BK29" s="52" t="e">
        <f t="shared" si="49"/>
        <v>#DIV/0!</v>
      </c>
      <c r="BL29" s="53"/>
      <c r="BM29" s="53"/>
      <c r="BN29" s="52" t="e">
        <f t="shared" si="50"/>
        <v>#DIV/0!</v>
      </c>
      <c r="BO29" s="53">
        <v>1</v>
      </c>
      <c r="BP29" s="53">
        <f>380</f>
        <v>380</v>
      </c>
      <c r="BQ29" s="52">
        <f t="shared" si="51"/>
        <v>380</v>
      </c>
      <c r="BR29" s="53"/>
      <c r="BS29" s="53"/>
      <c r="BT29" s="52" t="e">
        <f t="shared" si="52"/>
        <v>#DIV/0!</v>
      </c>
      <c r="BU29" s="53"/>
      <c r="BV29" s="53"/>
      <c r="BW29" s="52" t="e">
        <f t="shared" si="53"/>
        <v>#DIV/0!</v>
      </c>
      <c r="BX29" s="53"/>
      <c r="BY29" s="53"/>
      <c r="BZ29" s="52" t="e">
        <f t="shared" si="54"/>
        <v>#DIV/0!</v>
      </c>
      <c r="CA29" s="53"/>
      <c r="CB29" s="53"/>
      <c r="CC29" s="52" t="e">
        <f t="shared" si="55"/>
        <v>#DIV/0!</v>
      </c>
      <c r="CD29" s="33"/>
      <c r="CE29" s="60"/>
      <c r="CF29" s="60"/>
      <c r="CG29" s="59">
        <f>CF29*CH29</f>
        <v>0</v>
      </c>
      <c r="CI29" s="60"/>
      <c r="CJ29" s="60"/>
      <c r="CK29" s="60"/>
      <c r="CL29" s="60"/>
      <c r="CM29" s="60"/>
      <c r="CN29" s="60"/>
      <c r="CO29" s="60"/>
      <c r="CP29" s="80">
        <f t="shared" si="27"/>
        <v>860</v>
      </c>
      <c r="CR29" s="145">
        <v>0</v>
      </c>
      <c r="CS29" s="146" t="s">
        <v>316</v>
      </c>
      <c r="CT29" s="145" t="e">
        <v>#DIV/0!</v>
      </c>
      <c r="CU29" s="147">
        <v>0</v>
      </c>
      <c r="CW29" s="43">
        <f>'[4]Skolēnu Pils'!CW29+'[4]Laimīte'!CW29+'[4]Daugmale'!CW29+'[4]Altona'!CW29+'[4]Šaha'!CW29+'[4]BSKR_Rīga'!CW29</f>
        <v>0</v>
      </c>
      <c r="CX29" s="8" t="s">
        <v>316</v>
      </c>
      <c r="CY29" s="43" t="e">
        <f t="shared" si="28"/>
        <v>#DIV/0!</v>
      </c>
      <c r="CZ29" s="139">
        <f>'[4]Skolēnu Pils'!CZ29+'[4]Laimīte'!CZ29+'[4]Daugmale'!CZ29+'[4]Altona'!CZ29+'[4]Šaha'!CZ29+'[4]BSKR_Rīga'!CZ29</f>
        <v>0</v>
      </c>
      <c r="DB29" s="152">
        <v>1</v>
      </c>
      <c r="DC29" s="146" t="s">
        <v>316</v>
      </c>
      <c r="DD29" s="145">
        <v>430</v>
      </c>
      <c r="DE29" s="152">
        <v>430</v>
      </c>
      <c r="DG29" s="160">
        <v>1</v>
      </c>
      <c r="DH29" s="160" t="s">
        <v>316</v>
      </c>
      <c r="DI29" s="160">
        <v>430</v>
      </c>
      <c r="DJ29" s="160">
        <v>430</v>
      </c>
      <c r="DL29" s="42"/>
      <c r="DM29" s="8" t="s">
        <v>316</v>
      </c>
      <c r="DN29" s="43" t="e">
        <f t="shared" si="29"/>
        <v>#DIV/0!</v>
      </c>
      <c r="DO29" s="52"/>
      <c r="DQ29" s="42"/>
      <c r="DR29" s="8" t="s">
        <v>316</v>
      </c>
      <c r="DS29" s="43" t="e">
        <f t="shared" si="30"/>
        <v>#DIV/0!</v>
      </c>
      <c r="DT29" s="52"/>
    </row>
    <row r="30" spans="1:124" ht="49.5">
      <c r="A30" s="3" t="s">
        <v>3</v>
      </c>
      <c r="B30" s="2" t="s">
        <v>4</v>
      </c>
      <c r="C30" s="6" t="s">
        <v>116</v>
      </c>
      <c r="D30" s="43">
        <f t="shared" si="25"/>
        <v>1</v>
      </c>
      <c r="E30" s="8" t="s">
        <v>316</v>
      </c>
      <c r="F30" s="43">
        <f t="shared" si="26"/>
        <v>430</v>
      </c>
      <c r="G30" s="59">
        <f t="shared" si="31"/>
        <v>0</v>
      </c>
      <c r="J30" s="52"/>
      <c r="K30" s="52"/>
      <c r="L30" s="77" t="e">
        <f t="shared" si="32"/>
        <v>#DIV/0!</v>
      </c>
      <c r="M30" s="52"/>
      <c r="N30" s="52"/>
      <c r="O30" s="52" t="e">
        <f t="shared" si="33"/>
        <v>#DIV/0!</v>
      </c>
      <c r="P30" s="52"/>
      <c r="Q30" s="52"/>
      <c r="R30" s="52" t="e">
        <f t="shared" si="34"/>
        <v>#DIV/0!</v>
      </c>
      <c r="S30" s="52"/>
      <c r="T30" s="52"/>
      <c r="U30" s="52" t="e">
        <f t="shared" si="35"/>
        <v>#DIV/0!</v>
      </c>
      <c r="V30" s="52"/>
      <c r="W30" s="52"/>
      <c r="X30" s="52" t="e">
        <f t="shared" si="36"/>
        <v>#DIV/0!</v>
      </c>
      <c r="Y30" s="52"/>
      <c r="Z30" s="52"/>
      <c r="AA30" s="52" t="e">
        <f t="shared" si="37"/>
        <v>#DIV/0!</v>
      </c>
      <c r="AB30" s="52"/>
      <c r="AC30" s="52"/>
      <c r="AD30" s="52" t="e">
        <f t="shared" si="38"/>
        <v>#DIV/0!</v>
      </c>
      <c r="AE30" s="52"/>
      <c r="AF30" s="52"/>
      <c r="AG30" s="52" t="e">
        <f t="shared" si="39"/>
        <v>#DIV/0!</v>
      </c>
      <c r="AH30" s="52"/>
      <c r="AI30" s="52"/>
      <c r="AJ30" s="52" t="e">
        <f t="shared" si="40"/>
        <v>#DIV/0!</v>
      </c>
      <c r="AK30" s="52"/>
      <c r="AL30" s="52"/>
      <c r="AM30" s="52" t="e">
        <f t="shared" si="41"/>
        <v>#DIV/0!</v>
      </c>
      <c r="AN30" s="52"/>
      <c r="AO30" s="52"/>
      <c r="AP30" s="52" t="e">
        <f t="shared" si="42"/>
        <v>#DIV/0!</v>
      </c>
      <c r="AQ30" s="52"/>
      <c r="AR30" s="52"/>
      <c r="AS30" s="52" t="e">
        <f t="shared" si="43"/>
        <v>#DIV/0!</v>
      </c>
      <c r="AT30" s="52"/>
      <c r="AU30" s="52"/>
      <c r="AV30" s="52" t="e">
        <f t="shared" si="44"/>
        <v>#DIV/0!</v>
      </c>
      <c r="AW30" s="52"/>
      <c r="AX30" s="52"/>
      <c r="AY30" s="52" t="e">
        <f t="shared" si="45"/>
        <v>#DIV/0!</v>
      </c>
      <c r="AZ30" s="52"/>
      <c r="BA30" s="52"/>
      <c r="BB30" s="52" t="e">
        <f t="shared" si="46"/>
        <v>#DIV/0!</v>
      </c>
      <c r="BC30" s="52"/>
      <c r="BD30" s="52"/>
      <c r="BE30" s="52" t="e">
        <f t="shared" si="47"/>
        <v>#DIV/0!</v>
      </c>
      <c r="BF30" s="52"/>
      <c r="BG30" s="52"/>
      <c r="BH30" s="52" t="e">
        <f t="shared" si="48"/>
        <v>#DIV/0!</v>
      </c>
      <c r="BI30" s="52"/>
      <c r="BJ30" s="52"/>
      <c r="BK30" s="52" t="e">
        <f t="shared" si="49"/>
        <v>#DIV/0!</v>
      </c>
      <c r="BL30" s="52"/>
      <c r="BM30" s="52"/>
      <c r="BN30" s="52" t="e">
        <f t="shared" si="50"/>
        <v>#DIV/0!</v>
      </c>
      <c r="BO30" s="52"/>
      <c r="BP30" s="52"/>
      <c r="BQ30" s="52" t="e">
        <f t="shared" si="51"/>
        <v>#DIV/0!</v>
      </c>
      <c r="BR30" s="52"/>
      <c r="BS30" s="52"/>
      <c r="BT30" s="52" t="e">
        <f t="shared" si="52"/>
        <v>#DIV/0!</v>
      </c>
      <c r="BU30" s="52"/>
      <c r="BV30" s="52"/>
      <c r="BW30" s="52" t="e">
        <f t="shared" si="53"/>
        <v>#DIV/0!</v>
      </c>
      <c r="BX30" s="52"/>
      <c r="BY30" s="52"/>
      <c r="BZ30" s="52" t="e">
        <f t="shared" si="54"/>
        <v>#DIV/0!</v>
      </c>
      <c r="CA30" s="52"/>
      <c r="CB30" s="52"/>
      <c r="CC30" s="52" t="e">
        <f t="shared" si="55"/>
        <v>#DIV/0!</v>
      </c>
      <c r="CD30" s="33"/>
      <c r="CG30" s="59">
        <f>CF30*CH30</f>
        <v>0</v>
      </c>
      <c r="CP30" s="80">
        <f t="shared" si="27"/>
        <v>430</v>
      </c>
      <c r="CR30" s="145">
        <v>0</v>
      </c>
      <c r="CS30" s="146" t="s">
        <v>316</v>
      </c>
      <c r="CT30" s="145" t="e">
        <v>#DIV/0!</v>
      </c>
      <c r="CU30" s="147">
        <v>0</v>
      </c>
      <c r="CW30" s="43">
        <f>'[4]Skolēnu Pils'!CW30+'[4]Laimīte'!CW30+'[4]Daugmale'!CW30+'[4]Altona'!CW30+'[4]Šaha'!CW30+'[4]BSKR_Rīga'!CW30</f>
        <v>0</v>
      </c>
      <c r="CX30" s="8" t="s">
        <v>316</v>
      </c>
      <c r="CY30" s="43" t="e">
        <f t="shared" si="28"/>
        <v>#DIV/0!</v>
      </c>
      <c r="CZ30" s="139">
        <f>'[4]Skolēnu Pils'!CZ30+'[4]Laimīte'!CZ30+'[4]Daugmale'!CZ30+'[4]Altona'!CZ30+'[4]Šaha'!CZ30+'[4]BSKR_Rīga'!CZ30</f>
        <v>0</v>
      </c>
      <c r="DB30" s="152">
        <v>1</v>
      </c>
      <c r="DC30" s="146" t="s">
        <v>316</v>
      </c>
      <c r="DD30" s="145">
        <v>430</v>
      </c>
      <c r="DE30" s="152">
        <v>430</v>
      </c>
      <c r="DG30" s="160">
        <v>0</v>
      </c>
      <c r="DH30" s="160" t="s">
        <v>316</v>
      </c>
      <c r="DI30" s="160" t="e">
        <v>#DIV/0!</v>
      </c>
      <c r="DJ30" s="160">
        <v>0</v>
      </c>
      <c r="DL30" s="42"/>
      <c r="DM30" s="8" t="s">
        <v>316</v>
      </c>
      <c r="DN30" s="43" t="e">
        <f t="shared" si="29"/>
        <v>#DIV/0!</v>
      </c>
      <c r="DO30" s="52"/>
      <c r="DQ30" s="42"/>
      <c r="DR30" s="8" t="s">
        <v>316</v>
      </c>
      <c r="DS30" s="43" t="e">
        <f t="shared" si="30"/>
        <v>#DIV/0!</v>
      </c>
      <c r="DT30" s="52"/>
    </row>
    <row r="31" spans="1:124" s="60" customFormat="1" ht="17.25">
      <c r="A31" s="3" t="s">
        <v>3</v>
      </c>
      <c r="B31" s="4" t="s">
        <v>4</v>
      </c>
      <c r="C31" s="6" t="s">
        <v>36</v>
      </c>
      <c r="D31" s="43">
        <f t="shared" si="25"/>
        <v>1.5</v>
      </c>
      <c r="E31" s="8" t="s">
        <v>316</v>
      </c>
      <c r="F31" s="43">
        <f t="shared" si="26"/>
        <v>430</v>
      </c>
      <c r="G31" s="59">
        <f t="shared" si="31"/>
        <v>570</v>
      </c>
      <c r="H31" s="59"/>
      <c r="I31" s="59"/>
      <c r="J31" s="52"/>
      <c r="K31" s="52"/>
      <c r="L31" s="77" t="e">
        <f t="shared" si="32"/>
        <v>#DIV/0!</v>
      </c>
      <c r="M31" s="52"/>
      <c r="N31" s="52"/>
      <c r="O31" s="52" t="e">
        <f t="shared" si="33"/>
        <v>#DIV/0!</v>
      </c>
      <c r="P31" s="52"/>
      <c r="Q31" s="52"/>
      <c r="R31" s="52" t="e">
        <f t="shared" si="34"/>
        <v>#DIV/0!</v>
      </c>
      <c r="S31" s="52"/>
      <c r="T31" s="52"/>
      <c r="U31" s="52" t="e">
        <f t="shared" si="35"/>
        <v>#DIV/0!</v>
      </c>
      <c r="V31" s="52">
        <f>0.5</f>
        <v>0.5</v>
      </c>
      <c r="W31" s="52">
        <f>190</f>
        <v>190</v>
      </c>
      <c r="X31" s="52">
        <f t="shared" si="36"/>
        <v>380</v>
      </c>
      <c r="Y31" s="52"/>
      <c r="Z31" s="52"/>
      <c r="AA31" s="52" t="e">
        <f t="shared" si="37"/>
        <v>#DIV/0!</v>
      </c>
      <c r="AB31" s="52"/>
      <c r="AC31" s="52"/>
      <c r="AD31" s="52" t="e">
        <f t="shared" si="38"/>
        <v>#DIV/0!</v>
      </c>
      <c r="AE31" s="52"/>
      <c r="AF31" s="52"/>
      <c r="AG31" s="52" t="e">
        <f t="shared" si="39"/>
        <v>#DIV/0!</v>
      </c>
      <c r="AH31" s="52"/>
      <c r="AI31" s="52"/>
      <c r="AJ31" s="52" t="e">
        <f t="shared" si="40"/>
        <v>#DIV/0!</v>
      </c>
      <c r="AK31" s="52"/>
      <c r="AL31" s="52"/>
      <c r="AM31" s="52" t="e">
        <f t="shared" si="41"/>
        <v>#DIV/0!</v>
      </c>
      <c r="AN31" s="52">
        <f>1</f>
        <v>1</v>
      </c>
      <c r="AO31" s="52">
        <f>380</f>
        <v>380</v>
      </c>
      <c r="AP31" s="52">
        <f t="shared" si="42"/>
        <v>380</v>
      </c>
      <c r="AQ31" s="52"/>
      <c r="AR31" s="52"/>
      <c r="AS31" s="52" t="e">
        <f t="shared" si="43"/>
        <v>#DIV/0!</v>
      </c>
      <c r="AT31" s="52"/>
      <c r="AU31" s="52"/>
      <c r="AV31" s="52" t="e">
        <f t="shared" si="44"/>
        <v>#DIV/0!</v>
      </c>
      <c r="AW31" s="52"/>
      <c r="AX31" s="52"/>
      <c r="AY31" s="52" t="e">
        <f t="shared" si="45"/>
        <v>#DIV/0!</v>
      </c>
      <c r="AZ31" s="52"/>
      <c r="BA31" s="52"/>
      <c r="BB31" s="52" t="e">
        <f t="shared" si="46"/>
        <v>#DIV/0!</v>
      </c>
      <c r="BC31" s="52"/>
      <c r="BD31" s="52"/>
      <c r="BE31" s="52" t="e">
        <f t="shared" si="47"/>
        <v>#DIV/0!</v>
      </c>
      <c r="BF31" s="52"/>
      <c r="BG31" s="52"/>
      <c r="BH31" s="52" t="e">
        <f t="shared" si="48"/>
        <v>#DIV/0!</v>
      </c>
      <c r="BI31" s="52"/>
      <c r="BJ31" s="52"/>
      <c r="BK31" s="52" t="e">
        <f t="shared" si="49"/>
        <v>#DIV/0!</v>
      </c>
      <c r="BL31" s="52"/>
      <c r="BM31" s="52"/>
      <c r="BN31" s="52" t="e">
        <f t="shared" si="50"/>
        <v>#DIV/0!</v>
      </c>
      <c r="BO31" s="52"/>
      <c r="BP31" s="52"/>
      <c r="BQ31" s="52" t="e">
        <f t="shared" si="51"/>
        <v>#DIV/0!</v>
      </c>
      <c r="BR31" s="52"/>
      <c r="BS31" s="52"/>
      <c r="BT31" s="52" t="e">
        <f t="shared" si="52"/>
        <v>#DIV/0!</v>
      </c>
      <c r="BU31" s="52"/>
      <c r="BV31" s="52"/>
      <c r="BW31" s="52" t="e">
        <f t="shared" si="53"/>
        <v>#DIV/0!</v>
      </c>
      <c r="BX31" s="52"/>
      <c r="BY31" s="52"/>
      <c r="BZ31" s="52" t="e">
        <f t="shared" si="54"/>
        <v>#DIV/0!</v>
      </c>
      <c r="CA31" s="52"/>
      <c r="CB31" s="52"/>
      <c r="CC31" s="52" t="e">
        <f t="shared" si="55"/>
        <v>#DIV/0!</v>
      </c>
      <c r="CD31" s="33"/>
      <c r="CE31" s="59"/>
      <c r="CF31" s="59"/>
      <c r="CG31" s="59">
        <f>CF31*CH31</f>
        <v>0</v>
      </c>
      <c r="CH31" s="59"/>
      <c r="CI31" s="59"/>
      <c r="CJ31" s="59"/>
      <c r="CK31" s="59"/>
      <c r="CL31" s="59"/>
      <c r="CM31" s="59"/>
      <c r="CN31" s="59"/>
      <c r="CO31" s="59"/>
      <c r="CP31" s="80">
        <f t="shared" si="27"/>
        <v>645</v>
      </c>
      <c r="CQ31" s="138"/>
      <c r="CR31" s="145">
        <v>0</v>
      </c>
      <c r="CS31" s="146" t="s">
        <v>316</v>
      </c>
      <c r="CT31" s="145" t="e">
        <v>#DIV/0!</v>
      </c>
      <c r="CU31" s="147">
        <v>0</v>
      </c>
      <c r="CV31" s="138"/>
      <c r="CW31" s="43">
        <f>'[4]Skolēnu Pils'!CW31+'[4]Laimīte'!CW31+'[4]Daugmale'!CW31+'[4]Altona'!CW31+'[4]Šaha'!CW31+'[4]BSKR_Rīga'!CW31</f>
        <v>0</v>
      </c>
      <c r="CX31" s="8" t="s">
        <v>316</v>
      </c>
      <c r="CY31" s="43" t="e">
        <f t="shared" si="28"/>
        <v>#DIV/0!</v>
      </c>
      <c r="CZ31" s="139">
        <f>'[4]Skolēnu Pils'!CZ31+'[4]Laimīte'!CZ31+'[4]Daugmale'!CZ31+'[4]Altona'!CZ31+'[4]Šaha'!CZ31+'[4]BSKR_Rīga'!CZ31</f>
        <v>0</v>
      </c>
      <c r="DA31" s="138"/>
      <c r="DB31" s="152">
        <v>1.5</v>
      </c>
      <c r="DC31" s="146" t="s">
        <v>316</v>
      </c>
      <c r="DD31" s="145">
        <v>430</v>
      </c>
      <c r="DE31" s="152">
        <v>645</v>
      </c>
      <c r="DF31" s="153"/>
      <c r="DG31" s="159">
        <v>0</v>
      </c>
      <c r="DH31" s="159" t="s">
        <v>316</v>
      </c>
      <c r="DI31" s="159" t="e">
        <v>#DIV/0!</v>
      </c>
      <c r="DJ31" s="159">
        <v>0</v>
      </c>
      <c r="DK31" s="138"/>
      <c r="DL31" s="42"/>
      <c r="DM31" s="8" t="s">
        <v>316</v>
      </c>
      <c r="DN31" s="43" t="e">
        <f t="shared" si="29"/>
        <v>#DIV/0!</v>
      </c>
      <c r="DO31" s="52"/>
      <c r="DP31" s="138"/>
      <c r="DQ31" s="42"/>
      <c r="DR31" s="8" t="s">
        <v>316</v>
      </c>
      <c r="DS31" s="43" t="e">
        <f t="shared" si="30"/>
        <v>#DIV/0!</v>
      </c>
      <c r="DT31" s="52"/>
    </row>
    <row r="32" spans="1:124" ht="17.25">
      <c r="A32" s="3" t="s">
        <v>3</v>
      </c>
      <c r="B32" s="4" t="s">
        <v>4</v>
      </c>
      <c r="C32" s="6" t="s">
        <v>40</v>
      </c>
      <c r="D32" s="43">
        <f t="shared" si="25"/>
        <v>3.5</v>
      </c>
      <c r="E32" s="8" t="s">
        <v>316</v>
      </c>
      <c r="F32" s="43">
        <f t="shared" si="26"/>
        <v>468.57142857142856</v>
      </c>
      <c r="G32" s="59">
        <f t="shared" si="31"/>
        <v>1697.9</v>
      </c>
      <c r="J32" s="52">
        <f>0.5</f>
        <v>0.5</v>
      </c>
      <c r="K32" s="52">
        <f>220</f>
        <v>220</v>
      </c>
      <c r="L32" s="77">
        <f t="shared" si="32"/>
        <v>440</v>
      </c>
      <c r="M32" s="52"/>
      <c r="N32" s="52"/>
      <c r="O32" s="52" t="e">
        <f t="shared" si="33"/>
        <v>#DIV/0!</v>
      </c>
      <c r="P32" s="52"/>
      <c r="Q32" s="52"/>
      <c r="R32" s="52" t="e">
        <f t="shared" si="34"/>
        <v>#DIV/0!</v>
      </c>
      <c r="S32" s="52"/>
      <c r="T32" s="52"/>
      <c r="U32" s="52" t="e">
        <f t="shared" si="35"/>
        <v>#DIV/0!</v>
      </c>
      <c r="V32" s="52"/>
      <c r="W32" s="52"/>
      <c r="X32" s="52" t="e">
        <f t="shared" si="36"/>
        <v>#DIV/0!</v>
      </c>
      <c r="Y32" s="52">
        <f>1</f>
        <v>1</v>
      </c>
      <c r="Z32" s="52">
        <f>380</f>
        <v>380</v>
      </c>
      <c r="AA32" s="52">
        <f t="shared" si="37"/>
        <v>380</v>
      </c>
      <c r="AB32" s="52"/>
      <c r="AC32" s="52"/>
      <c r="AD32" s="52" t="e">
        <f t="shared" si="38"/>
        <v>#DIV/0!</v>
      </c>
      <c r="AE32" s="52"/>
      <c r="AF32" s="52"/>
      <c r="AG32" s="52" t="e">
        <f t="shared" si="39"/>
        <v>#DIV/0!</v>
      </c>
      <c r="AH32" s="52"/>
      <c r="AI32" s="52"/>
      <c r="AJ32" s="52" t="e">
        <f t="shared" si="40"/>
        <v>#DIV/0!</v>
      </c>
      <c r="AK32" s="52"/>
      <c r="AL32" s="52"/>
      <c r="AM32" s="52" t="e">
        <f t="shared" si="41"/>
        <v>#DIV/0!</v>
      </c>
      <c r="AN32" s="52"/>
      <c r="AO32" s="52"/>
      <c r="AP32" s="52" t="e">
        <f t="shared" si="42"/>
        <v>#DIV/0!</v>
      </c>
      <c r="AQ32" s="52"/>
      <c r="AR32" s="52"/>
      <c r="AS32" s="52" t="e">
        <f t="shared" si="43"/>
        <v>#DIV/0!</v>
      </c>
      <c r="AT32" s="52">
        <f>0.5</f>
        <v>0.5</v>
      </c>
      <c r="AU32" s="52">
        <f>190</f>
        <v>190</v>
      </c>
      <c r="AV32" s="52">
        <f t="shared" si="44"/>
        <v>380</v>
      </c>
      <c r="AW32" s="52"/>
      <c r="AX32" s="52"/>
      <c r="AY32" s="52" t="e">
        <f t="shared" si="45"/>
        <v>#DIV/0!</v>
      </c>
      <c r="AZ32" s="52"/>
      <c r="BA32" s="52"/>
      <c r="BB32" s="52" t="e">
        <f t="shared" si="46"/>
        <v>#DIV/0!</v>
      </c>
      <c r="BC32" s="52"/>
      <c r="BD32" s="52"/>
      <c r="BE32" s="52" t="e">
        <f t="shared" si="47"/>
        <v>#DIV/0!</v>
      </c>
      <c r="BF32" s="52"/>
      <c r="BG32" s="52"/>
      <c r="BH32" s="52" t="e">
        <f t="shared" si="48"/>
        <v>#DIV/0!</v>
      </c>
      <c r="BI32" s="52"/>
      <c r="BJ32" s="52"/>
      <c r="BK32" s="52" t="e">
        <f t="shared" si="49"/>
        <v>#DIV/0!</v>
      </c>
      <c r="BL32" s="52"/>
      <c r="BM32" s="52"/>
      <c r="BN32" s="52" t="e">
        <f t="shared" si="50"/>
        <v>#DIV/0!</v>
      </c>
      <c r="BO32" s="52"/>
      <c r="BP32" s="52"/>
      <c r="BQ32" s="52" t="e">
        <f t="shared" si="51"/>
        <v>#DIV/0!</v>
      </c>
      <c r="BR32" s="52"/>
      <c r="BS32" s="52"/>
      <c r="BT32" s="52" t="e">
        <f t="shared" si="52"/>
        <v>#DIV/0!</v>
      </c>
      <c r="BU32" s="52"/>
      <c r="BV32" s="52"/>
      <c r="BW32" s="52" t="e">
        <f t="shared" si="53"/>
        <v>#DIV/0!</v>
      </c>
      <c r="BX32" s="52">
        <f>1</f>
        <v>1</v>
      </c>
      <c r="BY32" s="52">
        <f>454</f>
        <v>454</v>
      </c>
      <c r="BZ32" s="52">
        <f t="shared" si="54"/>
        <v>454</v>
      </c>
      <c r="CA32" s="52"/>
      <c r="CB32" s="52"/>
      <c r="CC32" s="52" t="e">
        <f t="shared" si="55"/>
        <v>#DIV/0!</v>
      </c>
      <c r="CD32" s="33"/>
      <c r="CF32" s="59">
        <v>1</v>
      </c>
      <c r="CG32" s="59">
        <f>CF32*CH32</f>
        <v>453.9</v>
      </c>
      <c r="CH32" s="59">
        <v>453.9</v>
      </c>
      <c r="CP32" s="80">
        <f t="shared" si="27"/>
        <v>1640</v>
      </c>
      <c r="CR32" s="145">
        <v>0.5</v>
      </c>
      <c r="CS32" s="146" t="s">
        <v>316</v>
      </c>
      <c r="CT32" s="145">
        <v>470</v>
      </c>
      <c r="CU32" s="147">
        <v>235</v>
      </c>
      <c r="CW32" s="43">
        <f>'[4]Skolēnu Pils'!CW32+'[4]Laimīte'!CW32+'[4]Daugmale'!CW32+'[4]Altona'!CW32+'[4]Šaha'!CW32+'[4]BSKR_Rīga'!CW32</f>
        <v>0</v>
      </c>
      <c r="CX32" s="8" t="s">
        <v>316</v>
      </c>
      <c r="CY32" s="43" t="e">
        <f t="shared" si="28"/>
        <v>#DIV/0!</v>
      </c>
      <c r="CZ32" s="139">
        <f>'[4]Skolēnu Pils'!CZ32+'[4]Laimīte'!CZ32+'[4]Daugmale'!CZ32+'[4]Altona'!CZ32+'[4]Šaha'!CZ32+'[4]BSKR_Rīga'!CZ32</f>
        <v>0</v>
      </c>
      <c r="DB32" s="152">
        <v>1</v>
      </c>
      <c r="DC32" s="146" t="s">
        <v>316</v>
      </c>
      <c r="DD32" s="145">
        <v>430</v>
      </c>
      <c r="DE32" s="152">
        <v>430</v>
      </c>
      <c r="DG32" s="160">
        <v>1</v>
      </c>
      <c r="DH32" s="160" t="s">
        <v>316</v>
      </c>
      <c r="DI32" s="160">
        <v>488</v>
      </c>
      <c r="DJ32" s="160">
        <v>488</v>
      </c>
      <c r="DL32" s="42"/>
      <c r="DM32" s="8" t="s">
        <v>316</v>
      </c>
      <c r="DN32" s="43" t="e">
        <f t="shared" si="29"/>
        <v>#DIV/0!</v>
      </c>
      <c r="DO32" s="52"/>
      <c r="DQ32" s="42">
        <v>1</v>
      </c>
      <c r="DR32" s="8" t="s">
        <v>316</v>
      </c>
      <c r="DS32" s="43">
        <f t="shared" si="30"/>
        <v>487</v>
      </c>
      <c r="DT32" s="52">
        <v>487</v>
      </c>
    </row>
    <row r="33" spans="1:124" ht="17.25">
      <c r="A33" s="3" t="s">
        <v>3</v>
      </c>
      <c r="B33" s="4" t="s">
        <v>4</v>
      </c>
      <c r="C33" s="6" t="s">
        <v>51</v>
      </c>
      <c r="D33" s="43">
        <f t="shared" si="25"/>
        <v>3.7</v>
      </c>
      <c r="E33" s="8" t="s">
        <v>316</v>
      </c>
      <c r="F33" s="43">
        <f t="shared" si="26"/>
        <v>482.16216216216213</v>
      </c>
      <c r="G33" s="59">
        <f t="shared" si="31"/>
        <v>1602</v>
      </c>
      <c r="J33" s="52">
        <f>1</f>
        <v>1</v>
      </c>
      <c r="K33" s="52">
        <f>442</f>
        <v>442</v>
      </c>
      <c r="L33" s="77">
        <f t="shared" si="32"/>
        <v>442</v>
      </c>
      <c r="M33" s="52"/>
      <c r="N33" s="52"/>
      <c r="O33" s="52" t="e">
        <f t="shared" si="33"/>
        <v>#DIV/0!</v>
      </c>
      <c r="P33" s="52"/>
      <c r="Q33" s="52"/>
      <c r="R33" s="52" t="e">
        <f t="shared" si="34"/>
        <v>#DIV/0!</v>
      </c>
      <c r="S33" s="52"/>
      <c r="T33" s="52"/>
      <c r="U33" s="52" t="e">
        <f t="shared" si="35"/>
        <v>#DIV/0!</v>
      </c>
      <c r="V33" s="52"/>
      <c r="W33" s="52"/>
      <c r="X33" s="52" t="e">
        <f t="shared" si="36"/>
        <v>#DIV/0!</v>
      </c>
      <c r="Y33" s="52"/>
      <c r="Z33" s="52"/>
      <c r="AA33" s="52" t="e">
        <f t="shared" si="37"/>
        <v>#DIV/0!</v>
      </c>
      <c r="AB33" s="52"/>
      <c r="AC33" s="52"/>
      <c r="AD33" s="52" t="e">
        <f t="shared" si="38"/>
        <v>#DIV/0!</v>
      </c>
      <c r="AE33" s="52">
        <f>0.7</f>
        <v>0.7</v>
      </c>
      <c r="AF33" s="52">
        <f>266</f>
        <v>266</v>
      </c>
      <c r="AG33" s="52">
        <f t="shared" si="39"/>
        <v>380</v>
      </c>
      <c r="AH33" s="52"/>
      <c r="AI33" s="52"/>
      <c r="AJ33" s="52" t="e">
        <f t="shared" si="40"/>
        <v>#DIV/0!</v>
      </c>
      <c r="AK33" s="52"/>
      <c r="AL33" s="52"/>
      <c r="AM33" s="52" t="e">
        <f t="shared" si="41"/>
        <v>#DIV/0!</v>
      </c>
      <c r="AN33" s="52"/>
      <c r="AO33" s="52"/>
      <c r="AP33" s="52" t="e">
        <f t="shared" si="42"/>
        <v>#DIV/0!</v>
      </c>
      <c r="AQ33" s="52"/>
      <c r="AR33" s="52"/>
      <c r="AS33" s="52" t="e">
        <f t="shared" si="43"/>
        <v>#DIV/0!</v>
      </c>
      <c r="AT33" s="52"/>
      <c r="AU33" s="52"/>
      <c r="AV33" s="52" t="e">
        <f t="shared" si="44"/>
        <v>#DIV/0!</v>
      </c>
      <c r="AW33" s="52"/>
      <c r="AX33" s="52"/>
      <c r="AY33" s="52" t="e">
        <f t="shared" si="45"/>
        <v>#DIV/0!</v>
      </c>
      <c r="AZ33" s="52"/>
      <c r="BA33" s="52"/>
      <c r="BB33" s="52" t="e">
        <f t="shared" si="46"/>
        <v>#DIV/0!</v>
      </c>
      <c r="BC33" s="52"/>
      <c r="BD33" s="52"/>
      <c r="BE33" s="52" t="e">
        <f t="shared" si="47"/>
        <v>#DIV/0!</v>
      </c>
      <c r="BF33" s="52"/>
      <c r="BG33" s="52"/>
      <c r="BH33" s="52" t="e">
        <f t="shared" si="48"/>
        <v>#DIV/0!</v>
      </c>
      <c r="BI33" s="52"/>
      <c r="BJ33" s="52"/>
      <c r="BK33" s="52" t="e">
        <f t="shared" si="49"/>
        <v>#DIV/0!</v>
      </c>
      <c r="BL33" s="52"/>
      <c r="BM33" s="52"/>
      <c r="BN33" s="52" t="e">
        <f t="shared" si="50"/>
        <v>#DIV/0!</v>
      </c>
      <c r="BO33" s="52"/>
      <c r="BP33" s="52"/>
      <c r="BQ33" s="52" t="e">
        <f t="shared" si="51"/>
        <v>#DIV/0!</v>
      </c>
      <c r="BR33" s="52"/>
      <c r="BS33" s="52"/>
      <c r="BT33" s="52" t="e">
        <f t="shared" si="52"/>
        <v>#DIV/0!</v>
      </c>
      <c r="BU33" s="52"/>
      <c r="BV33" s="52"/>
      <c r="BW33" s="52" t="e">
        <f t="shared" si="53"/>
        <v>#DIV/0!</v>
      </c>
      <c r="BX33" s="52">
        <f>1</f>
        <v>1</v>
      </c>
      <c r="BY33" s="52">
        <f>440</f>
        <v>440</v>
      </c>
      <c r="BZ33" s="52">
        <f t="shared" si="54"/>
        <v>440</v>
      </c>
      <c r="CA33" s="52">
        <f>1</f>
        <v>1</v>
      </c>
      <c r="CB33" s="52">
        <f>454</f>
        <v>454</v>
      </c>
      <c r="CC33" s="52">
        <f t="shared" si="55"/>
        <v>454</v>
      </c>
      <c r="CD33" s="33"/>
      <c r="CH33" s="59">
        <f>CF33*CG33</f>
        <v>0</v>
      </c>
      <c r="CP33" s="80">
        <f t="shared" si="27"/>
        <v>1784</v>
      </c>
      <c r="CR33" s="145">
        <v>2</v>
      </c>
      <c r="CS33" s="146" t="s">
        <v>316</v>
      </c>
      <c r="CT33" s="145">
        <v>505</v>
      </c>
      <c r="CU33" s="147">
        <v>1010</v>
      </c>
      <c r="CW33" s="43">
        <f>'[4]Skolēnu Pils'!CW33+'[4]Laimīte'!CW33+'[4]Daugmale'!CW33+'[4]Altona'!CW33+'[4]Šaha'!CW33+'[4]BSKR_Rīga'!CW33</f>
        <v>0</v>
      </c>
      <c r="CX33" s="8" t="s">
        <v>316</v>
      </c>
      <c r="CY33" s="43" t="e">
        <f t="shared" si="28"/>
        <v>#DIV/0!</v>
      </c>
      <c r="CZ33" s="139">
        <f>'[4]Skolēnu Pils'!CZ33+'[4]Laimīte'!CZ33+'[4]Daugmale'!CZ33+'[4]Altona'!CZ33+'[4]Šaha'!CZ33+'[4]BSKR_Rīga'!CZ33</f>
        <v>0</v>
      </c>
      <c r="DB33" s="152">
        <v>0.7</v>
      </c>
      <c r="DC33" s="146" t="s">
        <v>316</v>
      </c>
      <c r="DD33" s="145">
        <v>430</v>
      </c>
      <c r="DE33" s="152">
        <v>301</v>
      </c>
      <c r="DG33" s="160">
        <v>1</v>
      </c>
      <c r="DH33" s="160" t="s">
        <v>316</v>
      </c>
      <c r="DI33" s="160">
        <v>473</v>
      </c>
      <c r="DJ33" s="160">
        <v>473</v>
      </c>
      <c r="DL33" s="42"/>
      <c r="DM33" s="8" t="s">
        <v>316</v>
      </c>
      <c r="DN33" s="43" t="e">
        <f t="shared" si="29"/>
        <v>#DIV/0!</v>
      </c>
      <c r="DO33" s="52"/>
      <c r="DQ33" s="42"/>
      <c r="DR33" s="8" t="s">
        <v>316</v>
      </c>
      <c r="DS33" s="43" t="e">
        <f t="shared" si="30"/>
        <v>#DIV/0!</v>
      </c>
      <c r="DT33" s="52"/>
    </row>
    <row r="34" spans="1:124" ht="34.5" customHeight="1">
      <c r="A34" s="3" t="s">
        <v>3</v>
      </c>
      <c r="B34" s="4" t="s">
        <v>4</v>
      </c>
      <c r="C34" s="6" t="s">
        <v>100</v>
      </c>
      <c r="D34" s="43">
        <f t="shared" si="25"/>
        <v>1</v>
      </c>
      <c r="E34" s="8" t="s">
        <v>316</v>
      </c>
      <c r="F34" s="43">
        <f t="shared" si="26"/>
        <v>450</v>
      </c>
      <c r="G34" s="59">
        <f t="shared" si="31"/>
        <v>440</v>
      </c>
      <c r="J34" s="52"/>
      <c r="K34" s="52"/>
      <c r="L34" s="77" t="e">
        <f t="shared" si="32"/>
        <v>#DIV/0!</v>
      </c>
      <c r="M34" s="52"/>
      <c r="N34" s="52"/>
      <c r="O34" s="52" t="e">
        <f t="shared" si="33"/>
        <v>#DIV/0!</v>
      </c>
      <c r="P34" s="52"/>
      <c r="Q34" s="52"/>
      <c r="R34" s="52" t="e">
        <f t="shared" si="34"/>
        <v>#DIV/0!</v>
      </c>
      <c r="S34" s="52"/>
      <c r="T34" s="52"/>
      <c r="U34" s="52" t="e">
        <f t="shared" si="35"/>
        <v>#DIV/0!</v>
      </c>
      <c r="V34" s="52"/>
      <c r="W34" s="52"/>
      <c r="X34" s="52" t="e">
        <f t="shared" si="36"/>
        <v>#DIV/0!</v>
      </c>
      <c r="Y34" s="52"/>
      <c r="Z34" s="52"/>
      <c r="AA34" s="52" t="e">
        <f t="shared" si="37"/>
        <v>#DIV/0!</v>
      </c>
      <c r="AB34" s="52"/>
      <c r="AC34" s="52"/>
      <c r="AD34" s="52" t="e">
        <f t="shared" si="38"/>
        <v>#DIV/0!</v>
      </c>
      <c r="AE34" s="52"/>
      <c r="AF34" s="52"/>
      <c r="AG34" s="52" t="e">
        <f t="shared" si="39"/>
        <v>#DIV/0!</v>
      </c>
      <c r="AH34" s="52">
        <f>1</f>
        <v>1</v>
      </c>
      <c r="AI34" s="52">
        <f>440</f>
        <v>440</v>
      </c>
      <c r="AJ34" s="52">
        <f t="shared" si="40"/>
        <v>440</v>
      </c>
      <c r="AK34" s="52"/>
      <c r="AL34" s="52"/>
      <c r="AM34" s="52" t="e">
        <f t="shared" si="41"/>
        <v>#DIV/0!</v>
      </c>
      <c r="AN34" s="52"/>
      <c r="AO34" s="52"/>
      <c r="AP34" s="52" t="e">
        <f t="shared" si="42"/>
        <v>#DIV/0!</v>
      </c>
      <c r="AQ34" s="52"/>
      <c r="AR34" s="52"/>
      <c r="AS34" s="52" t="e">
        <f t="shared" si="43"/>
        <v>#DIV/0!</v>
      </c>
      <c r="AT34" s="52"/>
      <c r="AU34" s="52"/>
      <c r="AV34" s="52" t="e">
        <f t="shared" si="44"/>
        <v>#DIV/0!</v>
      </c>
      <c r="AW34" s="52"/>
      <c r="AX34" s="52"/>
      <c r="AY34" s="52" t="e">
        <f t="shared" si="45"/>
        <v>#DIV/0!</v>
      </c>
      <c r="AZ34" s="52"/>
      <c r="BA34" s="52"/>
      <c r="BB34" s="52" t="e">
        <f t="shared" si="46"/>
        <v>#DIV/0!</v>
      </c>
      <c r="BC34" s="52"/>
      <c r="BD34" s="52"/>
      <c r="BE34" s="52" t="e">
        <f t="shared" si="47"/>
        <v>#DIV/0!</v>
      </c>
      <c r="BF34" s="52"/>
      <c r="BG34" s="52"/>
      <c r="BH34" s="52" t="e">
        <f t="shared" si="48"/>
        <v>#DIV/0!</v>
      </c>
      <c r="BI34" s="52"/>
      <c r="BJ34" s="52"/>
      <c r="BK34" s="52" t="e">
        <f t="shared" si="49"/>
        <v>#DIV/0!</v>
      </c>
      <c r="BL34" s="52"/>
      <c r="BM34" s="52"/>
      <c r="BN34" s="52" t="e">
        <f t="shared" si="50"/>
        <v>#DIV/0!</v>
      </c>
      <c r="BO34" s="52"/>
      <c r="BP34" s="52"/>
      <c r="BQ34" s="52" t="e">
        <f t="shared" si="51"/>
        <v>#DIV/0!</v>
      </c>
      <c r="BR34" s="52"/>
      <c r="BS34" s="52"/>
      <c r="BT34" s="52" t="e">
        <f t="shared" si="52"/>
        <v>#DIV/0!</v>
      </c>
      <c r="BU34" s="52"/>
      <c r="BV34" s="52"/>
      <c r="BW34" s="52" t="e">
        <f t="shared" si="53"/>
        <v>#DIV/0!</v>
      </c>
      <c r="BX34" s="52"/>
      <c r="BY34" s="52"/>
      <c r="BZ34" s="52" t="e">
        <f t="shared" si="54"/>
        <v>#DIV/0!</v>
      </c>
      <c r="CA34" s="52"/>
      <c r="CB34" s="52"/>
      <c r="CC34" s="52" t="e">
        <f t="shared" si="55"/>
        <v>#DIV/0!</v>
      </c>
      <c r="CD34" s="33"/>
      <c r="CH34" s="59">
        <f>CF34*CG34</f>
        <v>0</v>
      </c>
      <c r="CP34" s="80">
        <f t="shared" si="27"/>
        <v>450</v>
      </c>
      <c r="CR34" s="145">
        <v>1</v>
      </c>
      <c r="CS34" s="146" t="s">
        <v>316</v>
      </c>
      <c r="CT34" s="145">
        <v>450</v>
      </c>
      <c r="CU34" s="147">
        <v>450</v>
      </c>
      <c r="CW34" s="43">
        <f>'[4]Skolēnu Pils'!CW34+'[4]Laimīte'!CW34+'[4]Daugmale'!CW34+'[4]Altona'!CW34+'[4]Šaha'!CW34+'[4]BSKR_Rīga'!CW34</f>
        <v>0</v>
      </c>
      <c r="CX34" s="8" t="s">
        <v>316</v>
      </c>
      <c r="CY34" s="43" t="e">
        <f t="shared" si="28"/>
        <v>#DIV/0!</v>
      </c>
      <c r="CZ34" s="139">
        <f>'[4]Skolēnu Pils'!CZ34+'[4]Laimīte'!CZ34+'[4]Daugmale'!CZ34+'[4]Altona'!CZ34+'[4]Šaha'!CZ34+'[4]BSKR_Rīga'!CZ34</f>
        <v>0</v>
      </c>
      <c r="DB34" s="152">
        <v>0</v>
      </c>
      <c r="DC34" s="146" t="s">
        <v>316</v>
      </c>
      <c r="DD34" s="145" t="e">
        <v>#DIV/0!</v>
      </c>
      <c r="DE34" s="152">
        <v>0</v>
      </c>
      <c r="DG34" s="160">
        <v>0</v>
      </c>
      <c r="DH34" s="160" t="s">
        <v>316</v>
      </c>
      <c r="DI34" s="160" t="e">
        <v>#DIV/0!</v>
      </c>
      <c r="DJ34" s="160">
        <v>0</v>
      </c>
      <c r="DL34" s="42"/>
      <c r="DM34" s="8" t="s">
        <v>316</v>
      </c>
      <c r="DN34" s="43" t="e">
        <f t="shared" si="29"/>
        <v>#DIV/0!</v>
      </c>
      <c r="DO34" s="52"/>
      <c r="DQ34" s="42"/>
      <c r="DR34" s="8" t="s">
        <v>316</v>
      </c>
      <c r="DS34" s="43" t="e">
        <f t="shared" si="30"/>
        <v>#DIV/0!</v>
      </c>
      <c r="DT34" s="52"/>
    </row>
    <row r="35" spans="1:124" ht="17.25">
      <c r="A35" s="3" t="s">
        <v>3</v>
      </c>
      <c r="B35" s="4" t="s">
        <v>4</v>
      </c>
      <c r="C35" s="6" t="s">
        <v>119</v>
      </c>
      <c r="D35" s="43">
        <f t="shared" si="25"/>
        <v>1.3</v>
      </c>
      <c r="E35" s="8" t="s">
        <v>316</v>
      </c>
      <c r="F35" s="43">
        <f t="shared" si="26"/>
        <v>430</v>
      </c>
      <c r="G35" s="59">
        <f t="shared" si="31"/>
        <v>570</v>
      </c>
      <c r="J35" s="52">
        <f>1</f>
        <v>1</v>
      </c>
      <c r="K35" s="52">
        <f>380</f>
        <v>380</v>
      </c>
      <c r="L35" s="77">
        <f t="shared" si="32"/>
        <v>380</v>
      </c>
      <c r="M35" s="52"/>
      <c r="N35" s="52"/>
      <c r="O35" s="52" t="e">
        <f t="shared" si="33"/>
        <v>#DIV/0!</v>
      </c>
      <c r="P35" s="52"/>
      <c r="Q35" s="52"/>
      <c r="R35" s="52" t="e">
        <f t="shared" si="34"/>
        <v>#DIV/0!</v>
      </c>
      <c r="S35" s="52"/>
      <c r="T35" s="52"/>
      <c r="U35" s="52" t="e">
        <f t="shared" si="35"/>
        <v>#DIV/0!</v>
      </c>
      <c r="V35" s="52"/>
      <c r="W35" s="52"/>
      <c r="X35" s="52" t="e">
        <f t="shared" si="36"/>
        <v>#DIV/0!</v>
      </c>
      <c r="Y35" s="52"/>
      <c r="Z35" s="52"/>
      <c r="AA35" s="52" t="e">
        <f t="shared" si="37"/>
        <v>#DIV/0!</v>
      </c>
      <c r="AB35" s="52"/>
      <c r="AC35" s="52"/>
      <c r="AD35" s="52" t="e">
        <f t="shared" si="38"/>
        <v>#DIV/0!</v>
      </c>
      <c r="AE35" s="52"/>
      <c r="AF35" s="52"/>
      <c r="AG35" s="52" t="e">
        <f t="shared" si="39"/>
        <v>#DIV/0!</v>
      </c>
      <c r="AH35" s="52"/>
      <c r="AI35" s="52"/>
      <c r="AJ35" s="52" t="e">
        <f t="shared" si="40"/>
        <v>#DIV/0!</v>
      </c>
      <c r="AK35" s="52"/>
      <c r="AL35" s="52"/>
      <c r="AM35" s="52" t="e">
        <f t="shared" si="41"/>
        <v>#DIV/0!</v>
      </c>
      <c r="AN35" s="52"/>
      <c r="AO35" s="52"/>
      <c r="AP35" s="52" t="e">
        <f t="shared" si="42"/>
        <v>#DIV/0!</v>
      </c>
      <c r="AQ35" s="52"/>
      <c r="AR35" s="52"/>
      <c r="AS35" s="52" t="e">
        <f t="shared" si="43"/>
        <v>#DIV/0!</v>
      </c>
      <c r="AT35" s="52"/>
      <c r="AU35" s="52"/>
      <c r="AV35" s="52" t="e">
        <f t="shared" si="44"/>
        <v>#DIV/0!</v>
      </c>
      <c r="AW35" s="52"/>
      <c r="AX35" s="52"/>
      <c r="AY35" s="52" t="e">
        <f t="shared" si="45"/>
        <v>#DIV/0!</v>
      </c>
      <c r="AZ35" s="52"/>
      <c r="BA35" s="52"/>
      <c r="BB35" s="52" t="e">
        <f t="shared" si="46"/>
        <v>#DIV/0!</v>
      </c>
      <c r="BC35" s="52"/>
      <c r="BD35" s="52"/>
      <c r="BE35" s="52" t="e">
        <f t="shared" si="47"/>
        <v>#DIV/0!</v>
      </c>
      <c r="BF35" s="52"/>
      <c r="BG35" s="52"/>
      <c r="BH35" s="52" t="e">
        <f t="shared" si="48"/>
        <v>#DIV/0!</v>
      </c>
      <c r="BI35" s="52"/>
      <c r="BJ35" s="52"/>
      <c r="BK35" s="52" t="e">
        <f t="shared" si="49"/>
        <v>#DIV/0!</v>
      </c>
      <c r="BL35" s="52"/>
      <c r="BM35" s="52"/>
      <c r="BN35" s="52" t="e">
        <f t="shared" si="50"/>
        <v>#DIV/0!</v>
      </c>
      <c r="BO35" s="52">
        <f>0.5</f>
        <v>0.5</v>
      </c>
      <c r="BP35" s="52">
        <f>190</f>
        <v>190</v>
      </c>
      <c r="BQ35" s="52">
        <f t="shared" si="51"/>
        <v>380</v>
      </c>
      <c r="BR35" s="52"/>
      <c r="BS35" s="52"/>
      <c r="BT35" s="52" t="e">
        <f t="shared" si="52"/>
        <v>#DIV/0!</v>
      </c>
      <c r="BU35" s="52"/>
      <c r="BV35" s="52"/>
      <c r="BW35" s="52" t="e">
        <f t="shared" si="53"/>
        <v>#DIV/0!</v>
      </c>
      <c r="BX35" s="52"/>
      <c r="BY35" s="52"/>
      <c r="BZ35" s="52" t="e">
        <f t="shared" si="54"/>
        <v>#DIV/0!</v>
      </c>
      <c r="CA35" s="52"/>
      <c r="CB35" s="52"/>
      <c r="CC35" s="52" t="e">
        <f t="shared" si="55"/>
        <v>#DIV/0!</v>
      </c>
      <c r="CD35" s="33"/>
      <c r="CH35" s="59">
        <f>CF35*CG35</f>
        <v>0</v>
      </c>
      <c r="CP35" s="80">
        <f t="shared" si="27"/>
        <v>559</v>
      </c>
      <c r="CR35" s="145">
        <v>0.8</v>
      </c>
      <c r="CS35" s="146" t="s">
        <v>316</v>
      </c>
      <c r="CT35" s="145">
        <v>430</v>
      </c>
      <c r="CU35" s="147">
        <v>344</v>
      </c>
      <c r="CW35" s="43">
        <f>'[4]Skolēnu Pils'!CW35+'[4]Laimīte'!CW35+'[4]Daugmale'!CW35+'[4]Altona'!CW35+'[4]Šaha'!CW35+'[4]BSKR_Rīga'!CW35</f>
        <v>0</v>
      </c>
      <c r="CX35" s="8" t="s">
        <v>316</v>
      </c>
      <c r="CY35" s="43" t="e">
        <f t="shared" si="28"/>
        <v>#DIV/0!</v>
      </c>
      <c r="CZ35" s="139">
        <f>'[4]Skolēnu Pils'!CZ35+'[4]Laimīte'!CZ35+'[4]Daugmale'!CZ35+'[4]Altona'!CZ35+'[4]Šaha'!CZ35+'[4]BSKR_Rīga'!CZ35</f>
        <v>0</v>
      </c>
      <c r="DB35" s="152">
        <v>0</v>
      </c>
      <c r="DC35" s="146" t="s">
        <v>316</v>
      </c>
      <c r="DD35" s="145" t="e">
        <v>#DIV/0!</v>
      </c>
      <c r="DE35" s="152">
        <v>0</v>
      </c>
      <c r="DG35" s="160">
        <v>0.5</v>
      </c>
      <c r="DH35" s="160" t="s">
        <v>316</v>
      </c>
      <c r="DI35" s="160">
        <v>430</v>
      </c>
      <c r="DJ35" s="160">
        <v>215</v>
      </c>
      <c r="DL35" s="42"/>
      <c r="DM35" s="8" t="s">
        <v>316</v>
      </c>
      <c r="DN35" s="43" t="e">
        <f t="shared" si="29"/>
        <v>#DIV/0!</v>
      </c>
      <c r="DO35" s="52"/>
      <c r="DQ35" s="42"/>
      <c r="DR35" s="8" t="s">
        <v>316</v>
      </c>
      <c r="DS35" s="43" t="e">
        <f t="shared" si="30"/>
        <v>#DIV/0!</v>
      </c>
      <c r="DT35" s="52"/>
    </row>
    <row r="36" spans="1:124" ht="33">
      <c r="A36" s="3" t="s">
        <v>3</v>
      </c>
      <c r="B36" s="4" t="s">
        <v>4</v>
      </c>
      <c r="C36" s="11" t="s">
        <v>122</v>
      </c>
      <c r="D36" s="43">
        <f t="shared" si="25"/>
        <v>1</v>
      </c>
      <c r="E36" s="8" t="s">
        <v>314</v>
      </c>
      <c r="F36" s="43">
        <f t="shared" si="26"/>
        <v>430</v>
      </c>
      <c r="G36" s="59">
        <f t="shared" si="31"/>
        <v>425</v>
      </c>
      <c r="J36" s="52"/>
      <c r="K36" s="52"/>
      <c r="L36" s="77" t="e">
        <f t="shared" si="32"/>
        <v>#DIV/0!</v>
      </c>
      <c r="M36" s="52"/>
      <c r="N36" s="52"/>
      <c r="O36" s="52" t="e">
        <f t="shared" si="33"/>
        <v>#DIV/0!</v>
      </c>
      <c r="P36" s="52"/>
      <c r="Q36" s="52"/>
      <c r="R36" s="52" t="e">
        <f t="shared" si="34"/>
        <v>#DIV/0!</v>
      </c>
      <c r="S36" s="52"/>
      <c r="T36" s="52"/>
      <c r="U36" s="52" t="e">
        <f t="shared" si="35"/>
        <v>#DIV/0!</v>
      </c>
      <c r="V36" s="52"/>
      <c r="W36" s="52"/>
      <c r="X36" s="52" t="e">
        <f t="shared" si="36"/>
        <v>#DIV/0!</v>
      </c>
      <c r="Y36" s="52"/>
      <c r="Z36" s="52"/>
      <c r="AA36" s="52" t="e">
        <f t="shared" si="37"/>
        <v>#DIV/0!</v>
      </c>
      <c r="AB36" s="52"/>
      <c r="AC36" s="52"/>
      <c r="AD36" s="52" t="e">
        <f t="shared" si="38"/>
        <v>#DIV/0!</v>
      </c>
      <c r="AE36" s="52">
        <f>1</f>
        <v>1</v>
      </c>
      <c r="AF36" s="52">
        <f>425</f>
        <v>425</v>
      </c>
      <c r="AG36" s="52">
        <f t="shared" si="39"/>
        <v>425</v>
      </c>
      <c r="AH36" s="52"/>
      <c r="AI36" s="52"/>
      <c r="AJ36" s="52" t="e">
        <f t="shared" si="40"/>
        <v>#DIV/0!</v>
      </c>
      <c r="AK36" s="52"/>
      <c r="AL36" s="52"/>
      <c r="AM36" s="52" t="e">
        <f t="shared" si="41"/>
        <v>#DIV/0!</v>
      </c>
      <c r="AN36" s="52"/>
      <c r="AO36" s="52"/>
      <c r="AP36" s="52" t="e">
        <f t="shared" si="42"/>
        <v>#DIV/0!</v>
      </c>
      <c r="AQ36" s="52"/>
      <c r="AR36" s="52"/>
      <c r="AS36" s="52" t="e">
        <f t="shared" si="43"/>
        <v>#DIV/0!</v>
      </c>
      <c r="AT36" s="52"/>
      <c r="AU36" s="52"/>
      <c r="AV36" s="52" t="e">
        <f t="shared" si="44"/>
        <v>#DIV/0!</v>
      </c>
      <c r="AW36" s="52"/>
      <c r="AX36" s="52"/>
      <c r="AY36" s="52" t="e">
        <f t="shared" si="45"/>
        <v>#DIV/0!</v>
      </c>
      <c r="AZ36" s="52"/>
      <c r="BA36" s="52"/>
      <c r="BB36" s="52" t="e">
        <f t="shared" si="46"/>
        <v>#DIV/0!</v>
      </c>
      <c r="BC36" s="52"/>
      <c r="BD36" s="52"/>
      <c r="BE36" s="52" t="e">
        <f t="shared" si="47"/>
        <v>#DIV/0!</v>
      </c>
      <c r="BF36" s="52"/>
      <c r="BG36" s="52"/>
      <c r="BH36" s="52" t="e">
        <f t="shared" si="48"/>
        <v>#DIV/0!</v>
      </c>
      <c r="BI36" s="52"/>
      <c r="BJ36" s="52"/>
      <c r="BK36" s="52" t="e">
        <f t="shared" si="49"/>
        <v>#DIV/0!</v>
      </c>
      <c r="BL36" s="52"/>
      <c r="BM36" s="52"/>
      <c r="BN36" s="52" t="e">
        <f t="shared" si="50"/>
        <v>#DIV/0!</v>
      </c>
      <c r="BO36" s="52"/>
      <c r="BP36" s="52"/>
      <c r="BQ36" s="52" t="e">
        <f t="shared" si="51"/>
        <v>#DIV/0!</v>
      </c>
      <c r="BR36" s="52"/>
      <c r="BS36" s="52"/>
      <c r="BT36" s="52" t="e">
        <f t="shared" si="52"/>
        <v>#DIV/0!</v>
      </c>
      <c r="BU36" s="52"/>
      <c r="BV36" s="52"/>
      <c r="BW36" s="52" t="e">
        <f t="shared" si="53"/>
        <v>#DIV/0!</v>
      </c>
      <c r="BX36" s="52"/>
      <c r="BY36" s="52"/>
      <c r="BZ36" s="52" t="e">
        <f t="shared" si="54"/>
        <v>#DIV/0!</v>
      </c>
      <c r="CA36" s="52"/>
      <c r="CB36" s="52"/>
      <c r="CC36" s="52" t="e">
        <f t="shared" si="55"/>
        <v>#DIV/0!</v>
      </c>
      <c r="CD36" s="33"/>
      <c r="CH36" s="59">
        <f>CF36*CG36</f>
        <v>0</v>
      </c>
      <c r="CP36" s="80">
        <f t="shared" si="27"/>
        <v>430</v>
      </c>
      <c r="CR36" s="145">
        <v>0</v>
      </c>
      <c r="CS36" s="146" t="s">
        <v>314</v>
      </c>
      <c r="CT36" s="145" t="e">
        <v>#DIV/0!</v>
      </c>
      <c r="CU36" s="147">
        <v>0</v>
      </c>
      <c r="CW36" s="43">
        <f>'[4]Skolēnu Pils'!CW36+'[4]Laimīte'!CW36+'[4]Daugmale'!CW36+'[4]Altona'!CW36+'[4]Šaha'!CW36+'[4]BSKR_Rīga'!CW36</f>
        <v>0</v>
      </c>
      <c r="CX36" s="8" t="s">
        <v>314</v>
      </c>
      <c r="CY36" s="43" t="e">
        <f t="shared" si="28"/>
        <v>#DIV/0!</v>
      </c>
      <c r="CZ36" s="139">
        <f>'[4]Skolēnu Pils'!CZ36+'[4]Laimīte'!CZ36+'[4]Daugmale'!CZ36+'[4]Altona'!CZ36+'[4]Šaha'!CZ36+'[4]BSKR_Rīga'!CZ36</f>
        <v>0</v>
      </c>
      <c r="DB36" s="152">
        <v>1</v>
      </c>
      <c r="DC36" s="146" t="s">
        <v>314</v>
      </c>
      <c r="DD36" s="145">
        <v>430</v>
      </c>
      <c r="DE36" s="152">
        <v>430</v>
      </c>
      <c r="DG36" s="160">
        <v>0</v>
      </c>
      <c r="DH36" s="160" t="s">
        <v>314</v>
      </c>
      <c r="DI36" s="160" t="e">
        <v>#DIV/0!</v>
      </c>
      <c r="DJ36" s="160">
        <v>0</v>
      </c>
      <c r="DL36" s="42"/>
      <c r="DM36" s="8" t="s">
        <v>314</v>
      </c>
      <c r="DN36" s="43" t="e">
        <f t="shared" si="29"/>
        <v>#DIV/0!</v>
      </c>
      <c r="DO36" s="52"/>
      <c r="DQ36" s="42"/>
      <c r="DR36" s="8" t="s">
        <v>314</v>
      </c>
      <c r="DS36" s="43" t="e">
        <f t="shared" si="30"/>
        <v>#DIV/0!</v>
      </c>
      <c r="DT36" s="52"/>
    </row>
    <row r="37" spans="1:124" ht="17.25">
      <c r="A37" s="3" t="s">
        <v>3</v>
      </c>
      <c r="B37" s="4" t="s">
        <v>4</v>
      </c>
      <c r="C37" s="6" t="s">
        <v>58</v>
      </c>
      <c r="D37" s="43">
        <f t="shared" si="25"/>
        <v>22</v>
      </c>
      <c r="E37" s="8" t="s">
        <v>316</v>
      </c>
      <c r="F37" s="43">
        <f t="shared" si="26"/>
        <v>465.45454545454544</v>
      </c>
      <c r="G37" s="59">
        <f t="shared" si="31"/>
        <v>8712.13</v>
      </c>
      <c r="J37" s="52">
        <f>1+0.5+0.5</f>
        <v>2</v>
      </c>
      <c r="K37" s="52">
        <f>440+220+227</f>
        <v>887</v>
      </c>
      <c r="L37" s="77">
        <f t="shared" si="32"/>
        <v>443.5</v>
      </c>
      <c r="M37" s="52"/>
      <c r="N37" s="52"/>
      <c r="O37" s="52" t="e">
        <f t="shared" si="33"/>
        <v>#DIV/0!</v>
      </c>
      <c r="P37" s="52">
        <f>2+1</f>
        <v>3</v>
      </c>
      <c r="Q37" s="52">
        <f>2*454+454</f>
        <v>1362</v>
      </c>
      <c r="R37" s="52">
        <f t="shared" si="34"/>
        <v>454</v>
      </c>
      <c r="S37" s="52">
        <f>1</f>
        <v>1</v>
      </c>
      <c r="T37" s="52">
        <f>380</f>
        <v>380</v>
      </c>
      <c r="U37" s="52">
        <f t="shared" si="35"/>
        <v>380</v>
      </c>
      <c r="V37" s="52">
        <f>0.5+1</f>
        <v>1.5</v>
      </c>
      <c r="W37" s="52">
        <f>190+414</f>
        <v>604</v>
      </c>
      <c r="X37" s="52">
        <f t="shared" si="36"/>
        <v>402.6666666666667</v>
      </c>
      <c r="Y37" s="52">
        <f>1</f>
        <v>1</v>
      </c>
      <c r="Z37" s="52">
        <f>395</f>
        <v>395</v>
      </c>
      <c r="AA37" s="52">
        <f t="shared" si="37"/>
        <v>395</v>
      </c>
      <c r="AB37" s="52"/>
      <c r="AC37" s="52"/>
      <c r="AD37" s="52" t="e">
        <f t="shared" si="38"/>
        <v>#DIV/0!</v>
      </c>
      <c r="AE37" s="52"/>
      <c r="AF37" s="52"/>
      <c r="AG37" s="52" t="e">
        <f t="shared" si="39"/>
        <v>#DIV/0!</v>
      </c>
      <c r="AH37" s="52">
        <f>1</f>
        <v>1</v>
      </c>
      <c r="AI37" s="52">
        <f>395</f>
        <v>395</v>
      </c>
      <c r="AJ37" s="52">
        <f t="shared" si="40"/>
        <v>395</v>
      </c>
      <c r="AK37" s="52"/>
      <c r="AL37" s="52"/>
      <c r="AM37" s="52" t="e">
        <f t="shared" si="41"/>
        <v>#DIV/0!</v>
      </c>
      <c r="AN37" s="52">
        <f>1</f>
        <v>1</v>
      </c>
      <c r="AO37" s="52">
        <f>380</f>
        <v>380</v>
      </c>
      <c r="AP37" s="52">
        <f t="shared" si="42"/>
        <v>380</v>
      </c>
      <c r="AQ37" s="52"/>
      <c r="AR37" s="52"/>
      <c r="AS37" s="52" t="e">
        <f t="shared" si="43"/>
        <v>#DIV/0!</v>
      </c>
      <c r="AT37" s="52">
        <f>1</f>
        <v>1</v>
      </c>
      <c r="AU37" s="52">
        <f>380</f>
        <v>380</v>
      </c>
      <c r="AV37" s="52">
        <f t="shared" si="44"/>
        <v>380</v>
      </c>
      <c r="AW37" s="52">
        <f>2</f>
        <v>2</v>
      </c>
      <c r="AX37" s="52">
        <f>2*380</f>
        <v>760</v>
      </c>
      <c r="AY37" s="52">
        <f t="shared" si="45"/>
        <v>380</v>
      </c>
      <c r="AZ37" s="52"/>
      <c r="BA37" s="52"/>
      <c r="BB37" s="52" t="e">
        <f t="shared" si="46"/>
        <v>#DIV/0!</v>
      </c>
      <c r="BC37" s="52"/>
      <c r="BD37" s="52"/>
      <c r="BE37" s="52" t="e">
        <f t="shared" si="47"/>
        <v>#DIV/0!</v>
      </c>
      <c r="BF37" s="52"/>
      <c r="BG37" s="52"/>
      <c r="BH37" s="52" t="e">
        <f t="shared" si="48"/>
        <v>#DIV/0!</v>
      </c>
      <c r="BI37" s="52">
        <f>1</f>
        <v>1</v>
      </c>
      <c r="BJ37" s="52">
        <f>454</f>
        <v>454</v>
      </c>
      <c r="BK37" s="52">
        <f t="shared" si="49"/>
        <v>454</v>
      </c>
      <c r="BL37" s="52"/>
      <c r="BM37" s="52"/>
      <c r="BN37" s="52" t="e">
        <f t="shared" si="50"/>
        <v>#DIV/0!</v>
      </c>
      <c r="BO37" s="52">
        <f>1</f>
        <v>1</v>
      </c>
      <c r="BP37" s="52">
        <f>2*227</f>
        <v>454</v>
      </c>
      <c r="BQ37" s="52">
        <f t="shared" si="51"/>
        <v>454</v>
      </c>
      <c r="BR37" s="52"/>
      <c r="BS37" s="52"/>
      <c r="BT37" s="52" t="e">
        <f t="shared" si="52"/>
        <v>#DIV/0!</v>
      </c>
      <c r="BU37" s="52">
        <f>2</f>
        <v>2</v>
      </c>
      <c r="BV37" s="52">
        <f>2*454</f>
        <v>908</v>
      </c>
      <c r="BW37" s="52">
        <f t="shared" si="53"/>
        <v>454</v>
      </c>
      <c r="BX37" s="52"/>
      <c r="BY37" s="52"/>
      <c r="BZ37" s="52" t="e">
        <f t="shared" si="54"/>
        <v>#DIV/0!</v>
      </c>
      <c r="CA37" s="52">
        <f>1+1</f>
        <v>2</v>
      </c>
      <c r="CB37" s="52">
        <f>454+454</f>
        <v>908</v>
      </c>
      <c r="CC37" s="52">
        <f t="shared" si="55"/>
        <v>454</v>
      </c>
      <c r="CD37" s="33"/>
      <c r="CF37" s="59">
        <v>1</v>
      </c>
      <c r="CG37" s="59">
        <f>CF37*CH37</f>
        <v>445.13</v>
      </c>
      <c r="CH37" s="59">
        <v>445.13</v>
      </c>
      <c r="CP37" s="80">
        <f t="shared" si="27"/>
        <v>10240</v>
      </c>
      <c r="CR37" s="145">
        <v>7.5</v>
      </c>
      <c r="CS37" s="146" t="s">
        <v>316</v>
      </c>
      <c r="CT37" s="145">
        <v>494.8</v>
      </c>
      <c r="CU37" s="147">
        <v>3711</v>
      </c>
      <c r="CW37" s="43">
        <f>'[4]Skolēnu Pils'!CW37+'[4]Laimīte'!CW37+'[4]Daugmale'!CW37+'[4]Altona'!CW37+'[4]Šaha'!CW37+'[4]BSKR_Rīga'!CW37</f>
        <v>0</v>
      </c>
      <c r="CX37" s="8" t="s">
        <v>316</v>
      </c>
      <c r="CY37" s="43" t="e">
        <f t="shared" si="28"/>
        <v>#DIV/0!</v>
      </c>
      <c r="CZ37" s="139">
        <f>'[4]Skolēnu Pils'!CZ37+'[4]Laimīte'!CZ37+'[4]Daugmale'!CZ37+'[4]Altona'!CZ37+'[4]Šaha'!CZ37+'[4]BSKR_Rīga'!CZ37</f>
        <v>0</v>
      </c>
      <c r="DB37" s="152">
        <v>8.5</v>
      </c>
      <c r="DC37" s="146" t="s">
        <v>316</v>
      </c>
      <c r="DD37" s="145">
        <v>443.6470588235294</v>
      </c>
      <c r="DE37" s="152">
        <v>3771</v>
      </c>
      <c r="DG37" s="160">
        <v>5</v>
      </c>
      <c r="DH37" s="160" t="s">
        <v>316</v>
      </c>
      <c r="DI37" s="160">
        <v>459.6</v>
      </c>
      <c r="DJ37" s="160">
        <v>2298</v>
      </c>
      <c r="DL37" s="42"/>
      <c r="DM37" s="8" t="s">
        <v>316</v>
      </c>
      <c r="DN37" s="43" t="e">
        <f t="shared" si="29"/>
        <v>#DIV/0!</v>
      </c>
      <c r="DO37" s="52"/>
      <c r="DQ37" s="42">
        <v>1</v>
      </c>
      <c r="DR37" s="8" t="s">
        <v>316</v>
      </c>
      <c r="DS37" s="43">
        <f t="shared" si="30"/>
        <v>460</v>
      </c>
      <c r="DT37" s="52">
        <v>460</v>
      </c>
    </row>
    <row r="38" spans="1:124" ht="17.25">
      <c r="A38" s="3" t="s">
        <v>3</v>
      </c>
      <c r="B38" s="4" t="s">
        <v>4</v>
      </c>
      <c r="C38" s="6" t="s">
        <v>59</v>
      </c>
      <c r="D38" s="43">
        <f t="shared" si="25"/>
        <v>7</v>
      </c>
      <c r="E38" s="8" t="s">
        <v>314</v>
      </c>
      <c r="F38" s="43">
        <f t="shared" si="26"/>
        <v>472.14285714285717</v>
      </c>
      <c r="G38" s="59">
        <f t="shared" si="31"/>
        <v>2970</v>
      </c>
      <c r="J38" s="52"/>
      <c r="K38" s="52"/>
      <c r="L38" s="77" t="e">
        <f t="shared" si="32"/>
        <v>#DIV/0!</v>
      </c>
      <c r="M38" s="52"/>
      <c r="N38" s="52"/>
      <c r="O38" s="52" t="e">
        <f t="shared" si="33"/>
        <v>#DIV/0!</v>
      </c>
      <c r="P38" s="52">
        <f>0.5+0.5+0.5</f>
        <v>1.5</v>
      </c>
      <c r="Q38" s="52">
        <f>400+200</f>
        <v>600</v>
      </c>
      <c r="R38" s="52">
        <f t="shared" si="34"/>
        <v>400</v>
      </c>
      <c r="S38" s="52"/>
      <c r="T38" s="52"/>
      <c r="U38" s="52" t="e">
        <f t="shared" si="35"/>
        <v>#DIV/0!</v>
      </c>
      <c r="V38" s="52">
        <f>1+0.5</f>
        <v>1.5</v>
      </c>
      <c r="W38" s="52">
        <f>500+250</f>
        <v>750</v>
      </c>
      <c r="X38" s="52">
        <f t="shared" si="36"/>
        <v>500</v>
      </c>
      <c r="Y38" s="52"/>
      <c r="Z38" s="52"/>
      <c r="AA38" s="52" t="e">
        <f t="shared" si="37"/>
        <v>#DIV/0!</v>
      </c>
      <c r="AB38" s="52">
        <f>1</f>
        <v>1</v>
      </c>
      <c r="AC38" s="52">
        <f>267+274</f>
        <v>541</v>
      </c>
      <c r="AD38" s="52">
        <f t="shared" si="38"/>
        <v>541</v>
      </c>
      <c r="AE38" s="52">
        <f>1</f>
        <v>1</v>
      </c>
      <c r="AF38" s="52">
        <f>425</f>
        <v>425</v>
      </c>
      <c r="AG38" s="52">
        <f t="shared" si="39"/>
        <v>425</v>
      </c>
      <c r="AH38" s="52"/>
      <c r="AI38" s="52"/>
      <c r="AJ38" s="52" t="e">
        <f t="shared" si="40"/>
        <v>#DIV/0!</v>
      </c>
      <c r="AK38" s="52"/>
      <c r="AL38" s="52"/>
      <c r="AM38" s="52" t="e">
        <f t="shared" si="41"/>
        <v>#DIV/0!</v>
      </c>
      <c r="AN38" s="52">
        <f>1</f>
        <v>1</v>
      </c>
      <c r="AO38" s="52">
        <f>2*190</f>
        <v>380</v>
      </c>
      <c r="AP38" s="52">
        <f t="shared" si="42"/>
        <v>380</v>
      </c>
      <c r="AQ38" s="52"/>
      <c r="AR38" s="52"/>
      <c r="AS38" s="52" t="e">
        <f t="shared" si="43"/>
        <v>#DIV/0!</v>
      </c>
      <c r="AT38" s="52"/>
      <c r="AU38" s="52"/>
      <c r="AV38" s="52" t="e">
        <f t="shared" si="44"/>
        <v>#DIV/0!</v>
      </c>
      <c r="AW38" s="52"/>
      <c r="AX38" s="52"/>
      <c r="AY38" s="52" t="e">
        <f t="shared" si="45"/>
        <v>#DIV/0!</v>
      </c>
      <c r="AZ38" s="52"/>
      <c r="BA38" s="52"/>
      <c r="BB38" s="52" t="e">
        <f t="shared" si="46"/>
        <v>#DIV/0!</v>
      </c>
      <c r="BC38" s="52"/>
      <c r="BD38" s="52"/>
      <c r="BE38" s="52" t="e">
        <f t="shared" si="47"/>
        <v>#DIV/0!</v>
      </c>
      <c r="BF38" s="52"/>
      <c r="BG38" s="52"/>
      <c r="BH38" s="52" t="e">
        <f t="shared" si="48"/>
        <v>#DIV/0!</v>
      </c>
      <c r="BI38" s="52"/>
      <c r="BJ38" s="52"/>
      <c r="BK38" s="52" t="e">
        <f t="shared" si="49"/>
        <v>#DIV/0!</v>
      </c>
      <c r="BL38" s="52"/>
      <c r="BM38" s="52"/>
      <c r="BN38" s="52" t="e">
        <f t="shared" si="50"/>
        <v>#DIV/0!</v>
      </c>
      <c r="BO38" s="52"/>
      <c r="BP38" s="52"/>
      <c r="BQ38" s="52" t="e">
        <f t="shared" si="51"/>
        <v>#DIV/0!</v>
      </c>
      <c r="BR38" s="52"/>
      <c r="BS38" s="52"/>
      <c r="BT38" s="52" t="e">
        <f t="shared" si="52"/>
        <v>#DIV/0!</v>
      </c>
      <c r="BU38" s="52"/>
      <c r="BV38" s="52"/>
      <c r="BW38" s="52" t="e">
        <f t="shared" si="53"/>
        <v>#DIV/0!</v>
      </c>
      <c r="BX38" s="52"/>
      <c r="BY38" s="52"/>
      <c r="BZ38" s="52" t="e">
        <f t="shared" si="54"/>
        <v>#DIV/0!</v>
      </c>
      <c r="CA38" s="52">
        <f>0.5</f>
        <v>0.5</v>
      </c>
      <c r="CB38" s="52">
        <f>274</f>
        <v>274</v>
      </c>
      <c r="CC38" s="52">
        <f t="shared" si="55"/>
        <v>548</v>
      </c>
      <c r="CD38" s="33"/>
      <c r="CH38" s="59">
        <f aca="true" t="shared" si="56" ref="CH38:CH44">CF38*CG38</f>
        <v>0</v>
      </c>
      <c r="CP38" s="80">
        <f t="shared" si="27"/>
        <v>3305</v>
      </c>
      <c r="CR38" s="145">
        <v>2.5</v>
      </c>
      <c r="CS38" s="146" t="s">
        <v>314</v>
      </c>
      <c r="CT38" s="145">
        <v>448</v>
      </c>
      <c r="CU38" s="147">
        <v>1120</v>
      </c>
      <c r="CW38" s="43">
        <f>'[4]Skolēnu Pils'!CW38+'[4]Laimīte'!CW38+'[4]Daugmale'!CW38+'[4]Altona'!CW38+'[4]Šaha'!CW38+'[4]BSKR_Rīga'!CW38</f>
        <v>0</v>
      </c>
      <c r="CX38" s="8" t="s">
        <v>314</v>
      </c>
      <c r="CY38" s="43" t="e">
        <f t="shared" si="28"/>
        <v>#DIV/0!</v>
      </c>
      <c r="CZ38" s="139">
        <f>'[4]Skolēnu Pils'!CZ38+'[4]Laimīte'!CZ38+'[4]Daugmale'!CZ38+'[4]Altona'!CZ38+'[4]Šaha'!CZ38+'[4]BSKR_Rīga'!CZ38</f>
        <v>0</v>
      </c>
      <c r="DB38" s="152">
        <v>4.5</v>
      </c>
      <c r="DC38" s="146" t="s">
        <v>314</v>
      </c>
      <c r="DD38" s="145">
        <v>485.55555555555554</v>
      </c>
      <c r="DE38" s="152">
        <v>2185</v>
      </c>
      <c r="DG38" s="160">
        <v>0</v>
      </c>
      <c r="DH38" s="160" t="s">
        <v>314</v>
      </c>
      <c r="DI38" s="160" t="e">
        <v>#DIV/0!</v>
      </c>
      <c r="DJ38" s="160">
        <v>0</v>
      </c>
      <c r="DL38" s="42"/>
      <c r="DM38" s="8" t="s">
        <v>314</v>
      </c>
      <c r="DN38" s="43" t="e">
        <f t="shared" si="29"/>
        <v>#DIV/0!</v>
      </c>
      <c r="DO38" s="52"/>
      <c r="DQ38" s="42"/>
      <c r="DR38" s="8" t="s">
        <v>314</v>
      </c>
      <c r="DS38" s="43" t="e">
        <f t="shared" si="30"/>
        <v>#DIV/0!</v>
      </c>
      <c r="DT38" s="52"/>
    </row>
    <row r="39" spans="1:124" ht="17.25">
      <c r="A39" s="3" t="s">
        <v>3</v>
      </c>
      <c r="B39" s="2" t="s">
        <v>4</v>
      </c>
      <c r="C39" s="6" t="s">
        <v>125</v>
      </c>
      <c r="D39" s="43">
        <f t="shared" si="25"/>
        <v>0.5</v>
      </c>
      <c r="E39" s="8" t="s">
        <v>314</v>
      </c>
      <c r="F39" s="43">
        <f t="shared" si="26"/>
        <v>610</v>
      </c>
      <c r="G39" s="59">
        <f t="shared" si="31"/>
        <v>274</v>
      </c>
      <c r="J39" s="52"/>
      <c r="K39" s="52"/>
      <c r="L39" s="77" t="e">
        <f t="shared" si="32"/>
        <v>#DIV/0!</v>
      </c>
      <c r="M39" s="52"/>
      <c r="N39" s="52"/>
      <c r="O39" s="52" t="e">
        <f t="shared" si="33"/>
        <v>#DIV/0!</v>
      </c>
      <c r="P39" s="52"/>
      <c r="Q39" s="52"/>
      <c r="R39" s="52" t="e">
        <f t="shared" si="34"/>
        <v>#DIV/0!</v>
      </c>
      <c r="S39" s="52"/>
      <c r="T39" s="52"/>
      <c r="U39" s="52" t="e">
        <f t="shared" si="35"/>
        <v>#DIV/0!</v>
      </c>
      <c r="V39" s="52"/>
      <c r="W39" s="52"/>
      <c r="X39" s="52" t="e">
        <f t="shared" si="36"/>
        <v>#DIV/0!</v>
      </c>
      <c r="Y39" s="52"/>
      <c r="Z39" s="52"/>
      <c r="AA39" s="52" t="e">
        <f t="shared" si="37"/>
        <v>#DIV/0!</v>
      </c>
      <c r="AB39" s="52"/>
      <c r="AC39" s="52"/>
      <c r="AD39" s="52" t="e">
        <f t="shared" si="38"/>
        <v>#DIV/0!</v>
      </c>
      <c r="AE39" s="52"/>
      <c r="AF39" s="52"/>
      <c r="AG39" s="52" t="e">
        <f t="shared" si="39"/>
        <v>#DIV/0!</v>
      </c>
      <c r="AH39" s="52"/>
      <c r="AI39" s="52"/>
      <c r="AJ39" s="52" t="e">
        <f t="shared" si="40"/>
        <v>#DIV/0!</v>
      </c>
      <c r="AK39" s="52"/>
      <c r="AL39" s="52"/>
      <c r="AM39" s="52" t="e">
        <f t="shared" si="41"/>
        <v>#DIV/0!</v>
      </c>
      <c r="AN39" s="52"/>
      <c r="AO39" s="52"/>
      <c r="AP39" s="52" t="e">
        <f t="shared" si="42"/>
        <v>#DIV/0!</v>
      </c>
      <c r="AQ39" s="52"/>
      <c r="AR39" s="52"/>
      <c r="AS39" s="52" t="e">
        <f t="shared" si="43"/>
        <v>#DIV/0!</v>
      </c>
      <c r="AT39" s="52"/>
      <c r="AU39" s="52"/>
      <c r="AV39" s="52" t="e">
        <f t="shared" si="44"/>
        <v>#DIV/0!</v>
      </c>
      <c r="AW39" s="52"/>
      <c r="AX39" s="52"/>
      <c r="AY39" s="52" t="e">
        <f t="shared" si="45"/>
        <v>#DIV/0!</v>
      </c>
      <c r="AZ39" s="52"/>
      <c r="BA39" s="52"/>
      <c r="BB39" s="52" t="e">
        <f t="shared" si="46"/>
        <v>#DIV/0!</v>
      </c>
      <c r="BC39" s="52"/>
      <c r="BD39" s="52"/>
      <c r="BE39" s="52" t="e">
        <f t="shared" si="47"/>
        <v>#DIV/0!</v>
      </c>
      <c r="BF39" s="52"/>
      <c r="BG39" s="52"/>
      <c r="BH39" s="52" t="e">
        <f t="shared" si="48"/>
        <v>#DIV/0!</v>
      </c>
      <c r="BI39" s="52"/>
      <c r="BJ39" s="52"/>
      <c r="BK39" s="52" t="e">
        <f t="shared" si="49"/>
        <v>#DIV/0!</v>
      </c>
      <c r="BL39" s="52"/>
      <c r="BM39" s="52"/>
      <c r="BN39" s="52" t="e">
        <f t="shared" si="50"/>
        <v>#DIV/0!</v>
      </c>
      <c r="BO39" s="52"/>
      <c r="BP39" s="52"/>
      <c r="BQ39" s="52" t="e">
        <f t="shared" si="51"/>
        <v>#DIV/0!</v>
      </c>
      <c r="BR39" s="52"/>
      <c r="BS39" s="52"/>
      <c r="BT39" s="52" t="e">
        <f t="shared" si="52"/>
        <v>#DIV/0!</v>
      </c>
      <c r="BU39" s="52"/>
      <c r="BV39" s="52"/>
      <c r="BW39" s="52" t="e">
        <f t="shared" si="53"/>
        <v>#DIV/0!</v>
      </c>
      <c r="BX39" s="52"/>
      <c r="BY39" s="52"/>
      <c r="BZ39" s="52" t="e">
        <f t="shared" si="54"/>
        <v>#DIV/0!</v>
      </c>
      <c r="CA39" s="52">
        <f>0.5</f>
        <v>0.5</v>
      </c>
      <c r="CB39" s="52">
        <f>274</f>
        <v>274</v>
      </c>
      <c r="CC39" s="52">
        <f t="shared" si="55"/>
        <v>548</v>
      </c>
      <c r="CD39" s="33"/>
      <c r="CH39" s="59">
        <f t="shared" si="56"/>
        <v>0</v>
      </c>
      <c r="CP39" s="80">
        <f t="shared" si="27"/>
        <v>305</v>
      </c>
      <c r="CR39" s="145">
        <v>0.5</v>
      </c>
      <c r="CS39" s="146" t="s">
        <v>314</v>
      </c>
      <c r="CT39" s="145">
        <v>610</v>
      </c>
      <c r="CU39" s="147">
        <v>305</v>
      </c>
      <c r="CW39" s="43">
        <f>'[4]Skolēnu Pils'!CW39+'[4]Laimīte'!CW39+'[4]Daugmale'!CW39+'[4]Altona'!CW39+'[4]Šaha'!CW39+'[4]BSKR_Rīga'!CW39</f>
        <v>0</v>
      </c>
      <c r="CX39" s="8" t="s">
        <v>314</v>
      </c>
      <c r="CY39" s="43" t="e">
        <f t="shared" si="28"/>
        <v>#DIV/0!</v>
      </c>
      <c r="CZ39" s="139">
        <f>'[4]Skolēnu Pils'!CZ39+'[4]Laimīte'!CZ39+'[4]Daugmale'!CZ39+'[4]Altona'!CZ39+'[4]Šaha'!CZ39+'[4]BSKR_Rīga'!CZ39</f>
        <v>0</v>
      </c>
      <c r="DB39" s="152">
        <v>0</v>
      </c>
      <c r="DC39" s="146" t="s">
        <v>314</v>
      </c>
      <c r="DD39" s="145" t="e">
        <v>#DIV/0!</v>
      </c>
      <c r="DE39" s="152">
        <v>0</v>
      </c>
      <c r="DG39" s="160">
        <v>0</v>
      </c>
      <c r="DH39" s="160" t="s">
        <v>314</v>
      </c>
      <c r="DI39" s="160" t="e">
        <v>#DIV/0!</v>
      </c>
      <c r="DJ39" s="160">
        <v>0</v>
      </c>
      <c r="DL39" s="42"/>
      <c r="DM39" s="8" t="s">
        <v>314</v>
      </c>
      <c r="DN39" s="43" t="e">
        <f t="shared" si="29"/>
        <v>#DIV/0!</v>
      </c>
      <c r="DO39" s="52"/>
      <c r="DQ39" s="42"/>
      <c r="DR39" s="8" t="s">
        <v>314</v>
      </c>
      <c r="DS39" s="43" t="e">
        <f t="shared" si="30"/>
        <v>#DIV/0!</v>
      </c>
      <c r="DT39" s="52"/>
    </row>
    <row r="40" spans="1:124" ht="17.25">
      <c r="A40" s="3" t="s">
        <v>3</v>
      </c>
      <c r="B40" s="4" t="s">
        <v>4</v>
      </c>
      <c r="C40" s="6" t="s">
        <v>73</v>
      </c>
      <c r="D40" s="43">
        <f t="shared" si="25"/>
        <v>2.5</v>
      </c>
      <c r="E40" s="8" t="s">
        <v>314</v>
      </c>
      <c r="F40" s="43">
        <f t="shared" si="26"/>
        <v>477.2</v>
      </c>
      <c r="G40" s="59">
        <f t="shared" si="31"/>
        <v>1308</v>
      </c>
      <c r="J40" s="52">
        <f>0.5+0.5</f>
        <v>1</v>
      </c>
      <c r="K40" s="52">
        <f>190+190</f>
        <v>380</v>
      </c>
      <c r="L40" s="77">
        <f t="shared" si="32"/>
        <v>380</v>
      </c>
      <c r="M40" s="52"/>
      <c r="N40" s="52"/>
      <c r="O40" s="52" t="e">
        <f t="shared" si="33"/>
        <v>#DIV/0!</v>
      </c>
      <c r="P40" s="52"/>
      <c r="Q40" s="52"/>
      <c r="R40" s="52" t="e">
        <f t="shared" si="34"/>
        <v>#DIV/0!</v>
      </c>
      <c r="S40" s="52"/>
      <c r="T40" s="52"/>
      <c r="U40" s="52" t="e">
        <f t="shared" si="35"/>
        <v>#DIV/0!</v>
      </c>
      <c r="V40" s="52"/>
      <c r="W40" s="52"/>
      <c r="X40" s="52" t="e">
        <f t="shared" si="36"/>
        <v>#DIV/0!</v>
      </c>
      <c r="Y40" s="52"/>
      <c r="Z40" s="52"/>
      <c r="AA40" s="52" t="e">
        <f t="shared" si="37"/>
        <v>#DIV/0!</v>
      </c>
      <c r="AB40" s="52"/>
      <c r="AC40" s="52"/>
      <c r="AD40" s="52" t="e">
        <f t="shared" si="38"/>
        <v>#DIV/0!</v>
      </c>
      <c r="AE40" s="52"/>
      <c r="AF40" s="52"/>
      <c r="AG40" s="52" t="e">
        <f t="shared" si="39"/>
        <v>#DIV/0!</v>
      </c>
      <c r="AH40" s="52"/>
      <c r="AI40" s="52"/>
      <c r="AJ40" s="52" t="e">
        <f t="shared" si="40"/>
        <v>#DIV/0!</v>
      </c>
      <c r="AK40" s="52"/>
      <c r="AL40" s="52"/>
      <c r="AM40" s="52" t="e">
        <f t="shared" si="41"/>
        <v>#DIV/0!</v>
      </c>
      <c r="AN40" s="52"/>
      <c r="AO40" s="52"/>
      <c r="AP40" s="52" t="e">
        <f t="shared" si="42"/>
        <v>#DIV/0!</v>
      </c>
      <c r="AQ40" s="52">
        <f>1</f>
        <v>1</v>
      </c>
      <c r="AR40" s="52">
        <f>380</f>
        <v>380</v>
      </c>
      <c r="AS40" s="52">
        <f t="shared" si="43"/>
        <v>380</v>
      </c>
      <c r="AT40" s="52"/>
      <c r="AU40" s="52"/>
      <c r="AV40" s="52" t="e">
        <f t="shared" si="44"/>
        <v>#DIV/0!</v>
      </c>
      <c r="AW40" s="52"/>
      <c r="AX40" s="52"/>
      <c r="AY40" s="52" t="e">
        <f t="shared" si="45"/>
        <v>#DIV/0!</v>
      </c>
      <c r="AZ40" s="52"/>
      <c r="BA40" s="52"/>
      <c r="BB40" s="52" t="e">
        <f t="shared" si="46"/>
        <v>#DIV/0!</v>
      </c>
      <c r="BC40" s="52">
        <f>1</f>
        <v>1</v>
      </c>
      <c r="BD40" s="52">
        <f>548</f>
        <v>548</v>
      </c>
      <c r="BE40" s="52">
        <f t="shared" si="47"/>
        <v>548</v>
      </c>
      <c r="BF40" s="52"/>
      <c r="BG40" s="52"/>
      <c r="BH40" s="52" t="e">
        <f t="shared" si="48"/>
        <v>#DIV/0!</v>
      </c>
      <c r="BI40" s="52"/>
      <c r="BJ40" s="52"/>
      <c r="BK40" s="52" t="e">
        <f t="shared" si="49"/>
        <v>#DIV/0!</v>
      </c>
      <c r="BL40" s="52"/>
      <c r="BM40" s="52"/>
      <c r="BN40" s="52" t="e">
        <f t="shared" si="50"/>
        <v>#DIV/0!</v>
      </c>
      <c r="BO40" s="52"/>
      <c r="BP40" s="52"/>
      <c r="BQ40" s="52" t="e">
        <f t="shared" si="51"/>
        <v>#DIV/0!</v>
      </c>
      <c r="BR40" s="52"/>
      <c r="BS40" s="52"/>
      <c r="BT40" s="52" t="e">
        <f t="shared" si="52"/>
        <v>#DIV/0!</v>
      </c>
      <c r="BU40" s="52"/>
      <c r="BV40" s="52"/>
      <c r="BW40" s="52" t="e">
        <f t="shared" si="53"/>
        <v>#DIV/0!</v>
      </c>
      <c r="BX40" s="52"/>
      <c r="BY40" s="52"/>
      <c r="BZ40" s="52" t="e">
        <f t="shared" si="54"/>
        <v>#DIV/0!</v>
      </c>
      <c r="CA40" s="52"/>
      <c r="CB40" s="52"/>
      <c r="CC40" s="52" t="e">
        <f t="shared" si="55"/>
        <v>#DIV/0!</v>
      </c>
      <c r="CD40" s="33"/>
      <c r="CH40" s="59">
        <f t="shared" si="56"/>
        <v>0</v>
      </c>
      <c r="CP40" s="80">
        <f t="shared" si="27"/>
        <v>1193</v>
      </c>
      <c r="CR40" s="145">
        <v>1.5</v>
      </c>
      <c r="CS40" s="146" t="s">
        <v>314</v>
      </c>
      <c r="CT40" s="145">
        <v>430</v>
      </c>
      <c r="CU40" s="147">
        <v>645</v>
      </c>
      <c r="CW40" s="43">
        <f>'[4]Skolēnu Pils'!CW40+'[4]Laimīte'!CW40+'[4]Daugmale'!CW40+'[4]Altona'!CW40+'[4]Šaha'!CW40+'[4]BSKR_Rīga'!CW40</f>
        <v>0</v>
      </c>
      <c r="CX40" s="8" t="s">
        <v>314</v>
      </c>
      <c r="CY40" s="43" t="e">
        <f t="shared" si="28"/>
        <v>#DIV/0!</v>
      </c>
      <c r="CZ40" s="139">
        <f>'[4]Skolēnu Pils'!CZ40+'[4]Laimīte'!CZ40+'[4]Daugmale'!CZ40+'[4]Altona'!CZ40+'[4]Šaha'!CZ40+'[4]BSKR_Rīga'!CZ40</f>
        <v>0</v>
      </c>
      <c r="DB40" s="152">
        <v>0</v>
      </c>
      <c r="DC40" s="146" t="s">
        <v>314</v>
      </c>
      <c r="DD40" s="145" t="e">
        <v>#DIV/0!</v>
      </c>
      <c r="DE40" s="152">
        <v>0</v>
      </c>
      <c r="DG40" s="160">
        <v>1</v>
      </c>
      <c r="DH40" s="160" t="s">
        <v>314</v>
      </c>
      <c r="DI40" s="160">
        <v>548</v>
      </c>
      <c r="DJ40" s="160">
        <v>548</v>
      </c>
      <c r="DL40" s="42"/>
      <c r="DM40" s="8" t="s">
        <v>314</v>
      </c>
      <c r="DN40" s="43" t="e">
        <f t="shared" si="29"/>
        <v>#DIV/0!</v>
      </c>
      <c r="DO40" s="52"/>
      <c r="DQ40" s="42"/>
      <c r="DR40" s="8" t="s">
        <v>314</v>
      </c>
      <c r="DS40" s="43" t="e">
        <f t="shared" si="30"/>
        <v>#DIV/0!</v>
      </c>
      <c r="DT40" s="52"/>
    </row>
    <row r="41" spans="1:124" ht="17.25">
      <c r="A41" s="3" t="s">
        <v>3</v>
      </c>
      <c r="B41" s="4" t="s">
        <v>4</v>
      </c>
      <c r="C41" s="6" t="s">
        <v>79</v>
      </c>
      <c r="D41" s="43">
        <f t="shared" si="25"/>
        <v>4.5</v>
      </c>
      <c r="E41" s="8" t="s">
        <v>316</v>
      </c>
      <c r="F41" s="43">
        <f t="shared" si="26"/>
        <v>518.2222222222222</v>
      </c>
      <c r="G41" s="59">
        <f t="shared" si="31"/>
        <v>2043</v>
      </c>
      <c r="J41" s="52"/>
      <c r="K41" s="52"/>
      <c r="L41" s="77" t="e">
        <f t="shared" si="32"/>
        <v>#DIV/0!</v>
      </c>
      <c r="M41" s="52"/>
      <c r="N41" s="52"/>
      <c r="O41" s="52" t="e">
        <f t="shared" si="33"/>
        <v>#DIV/0!</v>
      </c>
      <c r="P41" s="52"/>
      <c r="Q41" s="52"/>
      <c r="R41" s="52" t="e">
        <f t="shared" si="34"/>
        <v>#DIV/0!</v>
      </c>
      <c r="S41" s="52"/>
      <c r="T41" s="52"/>
      <c r="U41" s="52" t="e">
        <f t="shared" si="35"/>
        <v>#DIV/0!</v>
      </c>
      <c r="V41" s="52"/>
      <c r="W41" s="52"/>
      <c r="X41" s="52" t="e">
        <f t="shared" si="36"/>
        <v>#DIV/0!</v>
      </c>
      <c r="Y41" s="52"/>
      <c r="Z41" s="52"/>
      <c r="AA41" s="52" t="e">
        <f t="shared" si="37"/>
        <v>#DIV/0!</v>
      </c>
      <c r="AB41" s="52"/>
      <c r="AC41" s="52"/>
      <c r="AD41" s="52" t="e">
        <f t="shared" si="38"/>
        <v>#DIV/0!</v>
      </c>
      <c r="AE41" s="52"/>
      <c r="AF41" s="52"/>
      <c r="AG41" s="52" t="e">
        <f t="shared" si="39"/>
        <v>#DIV/0!</v>
      </c>
      <c r="AH41" s="52"/>
      <c r="AI41" s="52"/>
      <c r="AJ41" s="52" t="e">
        <f t="shared" si="40"/>
        <v>#DIV/0!</v>
      </c>
      <c r="AK41" s="52"/>
      <c r="AL41" s="52"/>
      <c r="AM41" s="52" t="e">
        <f t="shared" si="41"/>
        <v>#DIV/0!</v>
      </c>
      <c r="AN41" s="52"/>
      <c r="AO41" s="52"/>
      <c r="AP41" s="52" t="e">
        <f t="shared" si="42"/>
        <v>#DIV/0!</v>
      </c>
      <c r="AQ41" s="52"/>
      <c r="AR41" s="52"/>
      <c r="AS41" s="52" t="e">
        <f t="shared" si="43"/>
        <v>#DIV/0!</v>
      </c>
      <c r="AT41" s="52"/>
      <c r="AU41" s="52"/>
      <c r="AV41" s="52" t="e">
        <f t="shared" si="44"/>
        <v>#DIV/0!</v>
      </c>
      <c r="AW41" s="52"/>
      <c r="AX41" s="52"/>
      <c r="AY41" s="52" t="e">
        <f t="shared" si="45"/>
        <v>#DIV/0!</v>
      </c>
      <c r="AZ41" s="52"/>
      <c r="BA41" s="52"/>
      <c r="BB41" s="52" t="e">
        <f t="shared" si="46"/>
        <v>#DIV/0!</v>
      </c>
      <c r="BC41" s="52"/>
      <c r="BD41" s="52"/>
      <c r="BE41" s="52" t="e">
        <f t="shared" si="47"/>
        <v>#DIV/0!</v>
      </c>
      <c r="BF41" s="52"/>
      <c r="BG41" s="52"/>
      <c r="BH41" s="52" t="e">
        <f t="shared" si="48"/>
        <v>#DIV/0!</v>
      </c>
      <c r="BI41" s="52"/>
      <c r="BJ41" s="52"/>
      <c r="BK41" s="52" t="e">
        <f t="shared" si="49"/>
        <v>#DIV/0!</v>
      </c>
      <c r="BL41" s="52"/>
      <c r="BM41" s="52"/>
      <c r="BN41" s="52" t="e">
        <f t="shared" si="50"/>
        <v>#DIV/0!</v>
      </c>
      <c r="BO41" s="52"/>
      <c r="BP41" s="52"/>
      <c r="BQ41" s="52" t="e">
        <f t="shared" si="51"/>
        <v>#DIV/0!</v>
      </c>
      <c r="BR41" s="52"/>
      <c r="BS41" s="52"/>
      <c r="BT41" s="52" t="e">
        <f t="shared" si="52"/>
        <v>#DIV/0!</v>
      </c>
      <c r="BU41" s="52"/>
      <c r="BV41" s="52"/>
      <c r="BW41" s="52" t="e">
        <f t="shared" si="53"/>
        <v>#DIV/0!</v>
      </c>
      <c r="BX41" s="52">
        <f>0.5</f>
        <v>0.5</v>
      </c>
      <c r="BY41" s="52">
        <f>227</f>
        <v>227</v>
      </c>
      <c r="BZ41" s="52">
        <f t="shared" si="54"/>
        <v>454</v>
      </c>
      <c r="CA41" s="52">
        <f>4</f>
        <v>4</v>
      </c>
      <c r="CB41" s="52">
        <f>4*454</f>
        <v>1816</v>
      </c>
      <c r="CC41" s="52">
        <f t="shared" si="55"/>
        <v>454</v>
      </c>
      <c r="CD41" s="33"/>
      <c r="CH41" s="59">
        <f t="shared" si="56"/>
        <v>0</v>
      </c>
      <c r="CP41" s="80">
        <f t="shared" si="27"/>
        <v>2332</v>
      </c>
      <c r="CR41" s="145">
        <v>4</v>
      </c>
      <c r="CS41" s="146" t="s">
        <v>316</v>
      </c>
      <c r="CT41" s="145">
        <v>522</v>
      </c>
      <c r="CU41" s="147">
        <v>2088</v>
      </c>
      <c r="CW41" s="43">
        <f>'[4]Skolēnu Pils'!CW41+'[4]Laimīte'!CW41+'[4]Daugmale'!CW41+'[4]Altona'!CW41+'[4]Šaha'!CW41+'[4]BSKR_Rīga'!CW41</f>
        <v>0</v>
      </c>
      <c r="CX41" s="8" t="s">
        <v>316</v>
      </c>
      <c r="CY41" s="43" t="e">
        <f t="shared" si="28"/>
        <v>#DIV/0!</v>
      </c>
      <c r="CZ41" s="139">
        <f>'[4]Skolēnu Pils'!CZ41+'[4]Laimīte'!CZ41+'[4]Daugmale'!CZ41+'[4]Altona'!CZ41+'[4]Šaha'!CZ41+'[4]BSKR_Rīga'!CZ41</f>
        <v>0</v>
      </c>
      <c r="DB41" s="152">
        <v>0</v>
      </c>
      <c r="DC41" s="146" t="s">
        <v>316</v>
      </c>
      <c r="DD41" s="145" t="e">
        <v>#DIV/0!</v>
      </c>
      <c r="DE41" s="152">
        <v>0</v>
      </c>
      <c r="DG41" s="160">
        <v>0.5</v>
      </c>
      <c r="DH41" s="160" t="s">
        <v>316</v>
      </c>
      <c r="DI41" s="160">
        <v>488</v>
      </c>
      <c r="DJ41" s="160">
        <v>244</v>
      </c>
      <c r="DL41" s="42"/>
      <c r="DM41" s="8" t="s">
        <v>316</v>
      </c>
      <c r="DN41" s="43" t="e">
        <f t="shared" si="29"/>
        <v>#DIV/0!</v>
      </c>
      <c r="DO41" s="52"/>
      <c r="DQ41" s="42"/>
      <c r="DR41" s="8" t="s">
        <v>316</v>
      </c>
      <c r="DS41" s="43" t="e">
        <f t="shared" si="30"/>
        <v>#DIV/0!</v>
      </c>
      <c r="DT41" s="52"/>
    </row>
    <row r="42" spans="1:124" ht="17.25">
      <c r="A42" s="3" t="s">
        <v>3</v>
      </c>
      <c r="B42" s="4" t="s">
        <v>4</v>
      </c>
      <c r="C42" s="6" t="s">
        <v>130</v>
      </c>
      <c r="D42" s="43">
        <f t="shared" si="25"/>
        <v>1</v>
      </c>
      <c r="E42" s="8" t="s">
        <v>314</v>
      </c>
      <c r="F42" s="43">
        <f t="shared" si="26"/>
        <v>610</v>
      </c>
      <c r="G42" s="59">
        <f t="shared" si="31"/>
        <v>548</v>
      </c>
      <c r="J42" s="52"/>
      <c r="K42" s="52"/>
      <c r="L42" s="77" t="e">
        <f t="shared" si="32"/>
        <v>#DIV/0!</v>
      </c>
      <c r="M42" s="52"/>
      <c r="N42" s="52"/>
      <c r="O42" s="52" t="e">
        <f t="shared" si="33"/>
        <v>#DIV/0!</v>
      </c>
      <c r="P42" s="52"/>
      <c r="Q42" s="52"/>
      <c r="R42" s="52" t="e">
        <f t="shared" si="34"/>
        <v>#DIV/0!</v>
      </c>
      <c r="S42" s="52"/>
      <c r="T42" s="52"/>
      <c r="U42" s="52" t="e">
        <f t="shared" si="35"/>
        <v>#DIV/0!</v>
      </c>
      <c r="V42" s="52"/>
      <c r="W42" s="52"/>
      <c r="X42" s="52" t="e">
        <f t="shared" si="36"/>
        <v>#DIV/0!</v>
      </c>
      <c r="Y42" s="52"/>
      <c r="Z42" s="52"/>
      <c r="AA42" s="52" t="e">
        <f t="shared" si="37"/>
        <v>#DIV/0!</v>
      </c>
      <c r="AB42" s="52"/>
      <c r="AC42" s="52"/>
      <c r="AD42" s="52" t="e">
        <f t="shared" si="38"/>
        <v>#DIV/0!</v>
      </c>
      <c r="AE42" s="52"/>
      <c r="AF42" s="52"/>
      <c r="AG42" s="52" t="e">
        <f t="shared" si="39"/>
        <v>#DIV/0!</v>
      </c>
      <c r="AH42" s="52"/>
      <c r="AI42" s="52"/>
      <c r="AJ42" s="52" t="e">
        <f t="shared" si="40"/>
        <v>#DIV/0!</v>
      </c>
      <c r="AK42" s="52"/>
      <c r="AL42" s="52"/>
      <c r="AM42" s="52" t="e">
        <f t="shared" si="41"/>
        <v>#DIV/0!</v>
      </c>
      <c r="AN42" s="52"/>
      <c r="AO42" s="52"/>
      <c r="AP42" s="52" t="e">
        <f t="shared" si="42"/>
        <v>#DIV/0!</v>
      </c>
      <c r="AQ42" s="52"/>
      <c r="AR42" s="52"/>
      <c r="AS42" s="52" t="e">
        <f t="shared" si="43"/>
        <v>#DIV/0!</v>
      </c>
      <c r="AT42" s="52"/>
      <c r="AU42" s="52"/>
      <c r="AV42" s="52" t="e">
        <f t="shared" si="44"/>
        <v>#DIV/0!</v>
      </c>
      <c r="AW42" s="52"/>
      <c r="AX42" s="52"/>
      <c r="AY42" s="52" t="e">
        <f t="shared" si="45"/>
        <v>#DIV/0!</v>
      </c>
      <c r="AZ42" s="52"/>
      <c r="BA42" s="52"/>
      <c r="BB42" s="52" t="e">
        <f t="shared" si="46"/>
        <v>#DIV/0!</v>
      </c>
      <c r="BC42" s="52"/>
      <c r="BD42" s="52"/>
      <c r="BE42" s="52" t="e">
        <f t="shared" si="47"/>
        <v>#DIV/0!</v>
      </c>
      <c r="BF42" s="52"/>
      <c r="BG42" s="52"/>
      <c r="BH42" s="52" t="e">
        <f t="shared" si="48"/>
        <v>#DIV/0!</v>
      </c>
      <c r="BI42" s="52"/>
      <c r="BJ42" s="52"/>
      <c r="BK42" s="52" t="e">
        <f t="shared" si="49"/>
        <v>#DIV/0!</v>
      </c>
      <c r="BL42" s="52"/>
      <c r="BM42" s="52"/>
      <c r="BN42" s="52" t="e">
        <f t="shared" si="50"/>
        <v>#DIV/0!</v>
      </c>
      <c r="BO42" s="52"/>
      <c r="BP42" s="52"/>
      <c r="BQ42" s="52" t="e">
        <f t="shared" si="51"/>
        <v>#DIV/0!</v>
      </c>
      <c r="BR42" s="52"/>
      <c r="BS42" s="52"/>
      <c r="BT42" s="52" t="e">
        <f t="shared" si="52"/>
        <v>#DIV/0!</v>
      </c>
      <c r="BU42" s="52"/>
      <c r="BV42" s="52"/>
      <c r="BW42" s="52" t="e">
        <f t="shared" si="53"/>
        <v>#DIV/0!</v>
      </c>
      <c r="BX42" s="52"/>
      <c r="BY42" s="52"/>
      <c r="BZ42" s="52" t="e">
        <f t="shared" si="54"/>
        <v>#DIV/0!</v>
      </c>
      <c r="CA42" s="52">
        <f>1</f>
        <v>1</v>
      </c>
      <c r="CB42" s="52">
        <f>548</f>
        <v>548</v>
      </c>
      <c r="CC42" s="52">
        <f t="shared" si="55"/>
        <v>548</v>
      </c>
      <c r="CD42" s="33"/>
      <c r="CH42" s="59">
        <f t="shared" si="56"/>
        <v>0</v>
      </c>
      <c r="CP42" s="80">
        <f t="shared" si="27"/>
        <v>610</v>
      </c>
      <c r="CR42" s="145">
        <v>1</v>
      </c>
      <c r="CS42" s="146" t="s">
        <v>314</v>
      </c>
      <c r="CT42" s="145">
        <v>610</v>
      </c>
      <c r="CU42" s="147">
        <v>610</v>
      </c>
      <c r="CW42" s="43">
        <f>'[4]Skolēnu Pils'!CW42+'[4]Laimīte'!CW42+'[4]Daugmale'!CW42+'[4]Altona'!CW42+'[4]Šaha'!CW42+'[4]BSKR_Rīga'!CW42</f>
        <v>0</v>
      </c>
      <c r="CX42" s="8" t="s">
        <v>314</v>
      </c>
      <c r="CY42" s="43" t="e">
        <f t="shared" si="28"/>
        <v>#DIV/0!</v>
      </c>
      <c r="CZ42" s="139">
        <f>'[4]Skolēnu Pils'!CZ42+'[4]Laimīte'!CZ42+'[4]Daugmale'!CZ42+'[4]Altona'!CZ42+'[4]Šaha'!CZ42+'[4]BSKR_Rīga'!CZ42</f>
        <v>0</v>
      </c>
      <c r="DB42" s="152">
        <v>0</v>
      </c>
      <c r="DC42" s="146" t="s">
        <v>314</v>
      </c>
      <c r="DD42" s="145" t="e">
        <v>#DIV/0!</v>
      </c>
      <c r="DE42" s="152">
        <v>0</v>
      </c>
      <c r="DG42" s="160">
        <v>0</v>
      </c>
      <c r="DH42" s="160" t="s">
        <v>314</v>
      </c>
      <c r="DI42" s="160" t="e">
        <v>#DIV/0!</v>
      </c>
      <c r="DJ42" s="160">
        <v>0</v>
      </c>
      <c r="DL42" s="42"/>
      <c r="DM42" s="8" t="s">
        <v>314</v>
      </c>
      <c r="DN42" s="43" t="e">
        <f t="shared" si="29"/>
        <v>#DIV/0!</v>
      </c>
      <c r="DO42" s="52"/>
      <c r="DQ42" s="42"/>
      <c r="DR42" s="8" t="s">
        <v>314</v>
      </c>
      <c r="DS42" s="43" t="e">
        <f t="shared" si="30"/>
        <v>#DIV/0!</v>
      </c>
      <c r="DT42" s="52"/>
    </row>
    <row r="43" spans="1:124" ht="33">
      <c r="A43" s="3" t="s">
        <v>3</v>
      </c>
      <c r="B43" s="4" t="s">
        <v>4</v>
      </c>
      <c r="C43" s="6" t="s">
        <v>132</v>
      </c>
      <c r="D43" s="43">
        <f t="shared" si="25"/>
        <v>0</v>
      </c>
      <c r="E43" s="8" t="s">
        <v>314</v>
      </c>
      <c r="F43" s="43"/>
      <c r="G43" s="59">
        <f t="shared" si="31"/>
        <v>0</v>
      </c>
      <c r="J43" s="52"/>
      <c r="K43" s="52"/>
      <c r="L43" s="77" t="e">
        <f t="shared" si="32"/>
        <v>#DIV/0!</v>
      </c>
      <c r="M43" s="52"/>
      <c r="N43" s="52"/>
      <c r="O43" s="52" t="e">
        <f t="shared" si="33"/>
        <v>#DIV/0!</v>
      </c>
      <c r="P43" s="52"/>
      <c r="Q43" s="52"/>
      <c r="R43" s="52" t="e">
        <f t="shared" si="34"/>
        <v>#DIV/0!</v>
      </c>
      <c r="S43" s="52"/>
      <c r="T43" s="52"/>
      <c r="U43" s="52" t="e">
        <f t="shared" si="35"/>
        <v>#DIV/0!</v>
      </c>
      <c r="V43" s="52"/>
      <c r="W43" s="52"/>
      <c r="X43" s="52" t="e">
        <f t="shared" si="36"/>
        <v>#DIV/0!</v>
      </c>
      <c r="Y43" s="52"/>
      <c r="Z43" s="52"/>
      <c r="AA43" s="52" t="e">
        <f t="shared" si="37"/>
        <v>#DIV/0!</v>
      </c>
      <c r="AB43" s="52"/>
      <c r="AC43" s="52"/>
      <c r="AD43" s="52" t="e">
        <f t="shared" si="38"/>
        <v>#DIV/0!</v>
      </c>
      <c r="AE43" s="52"/>
      <c r="AF43" s="52"/>
      <c r="AG43" s="52" t="e">
        <f t="shared" si="39"/>
        <v>#DIV/0!</v>
      </c>
      <c r="AH43" s="52"/>
      <c r="AI43" s="52"/>
      <c r="AJ43" s="52" t="e">
        <f t="shared" si="40"/>
        <v>#DIV/0!</v>
      </c>
      <c r="AK43" s="52"/>
      <c r="AL43" s="52"/>
      <c r="AM43" s="52" t="e">
        <f t="shared" si="41"/>
        <v>#DIV/0!</v>
      </c>
      <c r="AN43" s="52"/>
      <c r="AO43" s="52"/>
      <c r="AP43" s="52" t="e">
        <f t="shared" si="42"/>
        <v>#DIV/0!</v>
      </c>
      <c r="AQ43" s="52"/>
      <c r="AR43" s="52"/>
      <c r="AS43" s="52" t="e">
        <f t="shared" si="43"/>
        <v>#DIV/0!</v>
      </c>
      <c r="AT43" s="52"/>
      <c r="AU43" s="52"/>
      <c r="AV43" s="52" t="e">
        <f t="shared" si="44"/>
        <v>#DIV/0!</v>
      </c>
      <c r="AW43" s="52"/>
      <c r="AX43" s="52"/>
      <c r="AY43" s="52" t="e">
        <f t="shared" si="45"/>
        <v>#DIV/0!</v>
      </c>
      <c r="AZ43" s="52"/>
      <c r="BA43" s="52"/>
      <c r="BB43" s="52" t="e">
        <f t="shared" si="46"/>
        <v>#DIV/0!</v>
      </c>
      <c r="BC43" s="52"/>
      <c r="BD43" s="52"/>
      <c r="BE43" s="52" t="e">
        <f t="shared" si="47"/>
        <v>#DIV/0!</v>
      </c>
      <c r="BF43" s="52"/>
      <c r="BG43" s="52"/>
      <c r="BH43" s="52" t="e">
        <f t="shared" si="48"/>
        <v>#DIV/0!</v>
      </c>
      <c r="BI43" s="52"/>
      <c r="BJ43" s="52"/>
      <c r="BK43" s="52" t="e">
        <f t="shared" si="49"/>
        <v>#DIV/0!</v>
      </c>
      <c r="BL43" s="52"/>
      <c r="BM43" s="52"/>
      <c r="BN43" s="52" t="e">
        <f t="shared" si="50"/>
        <v>#DIV/0!</v>
      </c>
      <c r="BO43" s="52"/>
      <c r="BP43" s="52"/>
      <c r="BQ43" s="52" t="e">
        <f t="shared" si="51"/>
        <v>#DIV/0!</v>
      </c>
      <c r="BR43" s="52"/>
      <c r="BS43" s="52"/>
      <c r="BT43" s="52" t="e">
        <f t="shared" si="52"/>
        <v>#DIV/0!</v>
      </c>
      <c r="BU43" s="52"/>
      <c r="BV43" s="52"/>
      <c r="BW43" s="52" t="e">
        <f t="shared" si="53"/>
        <v>#DIV/0!</v>
      </c>
      <c r="BX43" s="52"/>
      <c r="BY43" s="52"/>
      <c r="BZ43" s="52" t="e">
        <f t="shared" si="54"/>
        <v>#DIV/0!</v>
      </c>
      <c r="CA43" s="52"/>
      <c r="CB43" s="52"/>
      <c r="CC43" s="52" t="e">
        <f t="shared" si="55"/>
        <v>#DIV/0!</v>
      </c>
      <c r="CD43" s="33"/>
      <c r="CH43" s="59">
        <f t="shared" si="56"/>
        <v>0</v>
      </c>
      <c r="CP43" s="80">
        <f t="shared" si="27"/>
        <v>0</v>
      </c>
      <c r="CR43" s="145">
        <v>0</v>
      </c>
      <c r="CS43" s="146" t="s">
        <v>314</v>
      </c>
      <c r="CT43" s="145" t="e">
        <v>#DIV/0!</v>
      </c>
      <c r="CU43" s="147">
        <v>0</v>
      </c>
      <c r="CW43" s="43">
        <f>'[4]Skolēnu Pils'!CW43+'[4]Laimīte'!CW43+'[4]Daugmale'!CW43+'[4]Altona'!CW43+'[4]Šaha'!CW43+'[4]BSKR_Rīga'!CW43</f>
        <v>0</v>
      </c>
      <c r="CX43" s="8" t="s">
        <v>314</v>
      </c>
      <c r="CY43" s="43" t="e">
        <f t="shared" si="28"/>
        <v>#DIV/0!</v>
      </c>
      <c r="CZ43" s="139">
        <f>'[4]Skolēnu Pils'!CZ43+'[4]Laimīte'!CZ43+'[4]Daugmale'!CZ43+'[4]Altona'!CZ43+'[4]Šaha'!CZ43+'[4]BSKR_Rīga'!CZ43</f>
        <v>0</v>
      </c>
      <c r="DB43" s="152">
        <v>0</v>
      </c>
      <c r="DC43" s="146" t="s">
        <v>314</v>
      </c>
      <c r="DD43" s="145" t="e">
        <v>#DIV/0!</v>
      </c>
      <c r="DE43" s="152">
        <v>0</v>
      </c>
      <c r="DG43" s="160">
        <v>0</v>
      </c>
      <c r="DH43" s="160" t="s">
        <v>314</v>
      </c>
      <c r="DI43" s="160" t="e">
        <v>#DIV/0!</v>
      </c>
      <c r="DJ43" s="160">
        <v>0</v>
      </c>
      <c r="DL43" s="42"/>
      <c r="DM43" s="8" t="s">
        <v>314</v>
      </c>
      <c r="DN43" s="43" t="e">
        <f t="shared" si="29"/>
        <v>#DIV/0!</v>
      </c>
      <c r="DO43" s="52"/>
      <c r="DQ43" s="42"/>
      <c r="DR43" s="8" t="s">
        <v>314</v>
      </c>
      <c r="DS43" s="43" t="e">
        <f t="shared" si="30"/>
        <v>#DIV/0!</v>
      </c>
      <c r="DT43" s="52"/>
    </row>
    <row r="44" spans="1:124" ht="17.25">
      <c r="A44" s="3" t="s">
        <v>3</v>
      </c>
      <c r="B44" s="4" t="s">
        <v>4</v>
      </c>
      <c r="C44" s="6" t="s">
        <v>135</v>
      </c>
      <c r="D44" s="43">
        <f t="shared" si="25"/>
        <v>1</v>
      </c>
      <c r="E44" s="8" t="s">
        <v>316</v>
      </c>
      <c r="F44" s="43">
        <f t="shared" si="26"/>
        <v>460</v>
      </c>
      <c r="G44" s="59">
        <f t="shared" si="31"/>
        <v>380</v>
      </c>
      <c r="J44" s="52"/>
      <c r="K44" s="52"/>
      <c r="L44" s="77" t="e">
        <f t="shared" si="32"/>
        <v>#DIV/0!</v>
      </c>
      <c r="M44" s="52"/>
      <c r="N44" s="52"/>
      <c r="O44" s="52" t="e">
        <f t="shared" si="33"/>
        <v>#DIV/0!</v>
      </c>
      <c r="P44" s="52"/>
      <c r="Q44" s="52"/>
      <c r="R44" s="52" t="e">
        <f t="shared" si="34"/>
        <v>#DIV/0!</v>
      </c>
      <c r="S44" s="52"/>
      <c r="T44" s="52"/>
      <c r="U44" s="52" t="e">
        <f t="shared" si="35"/>
        <v>#DIV/0!</v>
      </c>
      <c r="V44" s="52"/>
      <c r="W44" s="52"/>
      <c r="X44" s="52" t="e">
        <f t="shared" si="36"/>
        <v>#DIV/0!</v>
      </c>
      <c r="Y44" s="52"/>
      <c r="Z44" s="52"/>
      <c r="AA44" s="52" t="e">
        <f t="shared" si="37"/>
        <v>#DIV/0!</v>
      </c>
      <c r="AB44" s="52"/>
      <c r="AC44" s="52"/>
      <c r="AD44" s="52" t="e">
        <f t="shared" si="38"/>
        <v>#DIV/0!</v>
      </c>
      <c r="AE44" s="52"/>
      <c r="AF44" s="52"/>
      <c r="AG44" s="52" t="e">
        <f t="shared" si="39"/>
        <v>#DIV/0!</v>
      </c>
      <c r="AH44" s="52"/>
      <c r="AI44" s="52"/>
      <c r="AJ44" s="52" t="e">
        <f t="shared" si="40"/>
        <v>#DIV/0!</v>
      </c>
      <c r="AK44" s="52"/>
      <c r="AL44" s="52"/>
      <c r="AM44" s="52" t="e">
        <f t="shared" si="41"/>
        <v>#DIV/0!</v>
      </c>
      <c r="AN44" s="52"/>
      <c r="AO44" s="52"/>
      <c r="AP44" s="52" t="e">
        <f t="shared" si="42"/>
        <v>#DIV/0!</v>
      </c>
      <c r="AQ44" s="52"/>
      <c r="AR44" s="52"/>
      <c r="AS44" s="52" t="e">
        <f t="shared" si="43"/>
        <v>#DIV/0!</v>
      </c>
      <c r="AT44" s="52"/>
      <c r="AU44" s="52"/>
      <c r="AV44" s="52" t="e">
        <f t="shared" si="44"/>
        <v>#DIV/0!</v>
      </c>
      <c r="AW44" s="52"/>
      <c r="AX44" s="52"/>
      <c r="AY44" s="52" t="e">
        <f t="shared" si="45"/>
        <v>#DIV/0!</v>
      </c>
      <c r="AZ44" s="52"/>
      <c r="BA44" s="52"/>
      <c r="BB44" s="52" t="e">
        <f t="shared" si="46"/>
        <v>#DIV/0!</v>
      </c>
      <c r="BC44" s="52"/>
      <c r="BD44" s="52"/>
      <c r="BE44" s="52" t="e">
        <f t="shared" si="47"/>
        <v>#DIV/0!</v>
      </c>
      <c r="BF44" s="52">
        <f>1</f>
        <v>1</v>
      </c>
      <c r="BG44" s="52">
        <f>380</f>
        <v>380</v>
      </c>
      <c r="BH44" s="52">
        <f t="shared" si="48"/>
        <v>380</v>
      </c>
      <c r="BI44" s="52"/>
      <c r="BJ44" s="52"/>
      <c r="BK44" s="52" t="e">
        <f t="shared" si="49"/>
        <v>#DIV/0!</v>
      </c>
      <c r="BL44" s="52"/>
      <c r="BM44" s="52"/>
      <c r="BN44" s="52" t="e">
        <f t="shared" si="50"/>
        <v>#DIV/0!</v>
      </c>
      <c r="BO44" s="52"/>
      <c r="BP44" s="52"/>
      <c r="BQ44" s="52" t="e">
        <f t="shared" si="51"/>
        <v>#DIV/0!</v>
      </c>
      <c r="BR44" s="52"/>
      <c r="BS44" s="52"/>
      <c r="BT44" s="52" t="e">
        <f t="shared" si="52"/>
        <v>#DIV/0!</v>
      </c>
      <c r="BU44" s="52"/>
      <c r="BV44" s="52"/>
      <c r="BW44" s="52" t="e">
        <f t="shared" si="53"/>
        <v>#DIV/0!</v>
      </c>
      <c r="BX44" s="52"/>
      <c r="BY44" s="52"/>
      <c r="BZ44" s="52" t="e">
        <f t="shared" si="54"/>
        <v>#DIV/0!</v>
      </c>
      <c r="CA44" s="52"/>
      <c r="CB44" s="52"/>
      <c r="CC44" s="52" t="e">
        <f t="shared" si="55"/>
        <v>#DIV/0!</v>
      </c>
      <c r="CD44" s="33"/>
      <c r="CH44" s="59">
        <f t="shared" si="56"/>
        <v>0</v>
      </c>
      <c r="CP44" s="80">
        <f t="shared" si="27"/>
        <v>460</v>
      </c>
      <c r="CR44" s="145">
        <v>0</v>
      </c>
      <c r="CS44" s="146" t="s">
        <v>316</v>
      </c>
      <c r="CT44" s="145" t="e">
        <v>#DIV/0!</v>
      </c>
      <c r="CU44" s="147">
        <v>0</v>
      </c>
      <c r="CW44" s="43">
        <f>'[4]Skolēnu Pils'!CW44+'[4]Laimīte'!CW44+'[4]Daugmale'!CW44+'[4]Altona'!CW44+'[4]Šaha'!CW44+'[4]BSKR_Rīga'!CW44</f>
        <v>0</v>
      </c>
      <c r="CX44" s="8" t="s">
        <v>316</v>
      </c>
      <c r="CY44" s="43" t="e">
        <f t="shared" si="28"/>
        <v>#DIV/0!</v>
      </c>
      <c r="CZ44" s="139">
        <f>'[4]Skolēnu Pils'!CZ44+'[4]Laimīte'!CZ44+'[4]Daugmale'!CZ44+'[4]Altona'!CZ44+'[4]Šaha'!CZ44+'[4]BSKR_Rīga'!CZ44</f>
        <v>0</v>
      </c>
      <c r="DB44" s="152">
        <v>0</v>
      </c>
      <c r="DC44" s="146" t="s">
        <v>316</v>
      </c>
      <c r="DD44" s="145" t="e">
        <v>#DIV/0!</v>
      </c>
      <c r="DE44" s="152">
        <v>0</v>
      </c>
      <c r="DG44" s="160">
        <v>1</v>
      </c>
      <c r="DH44" s="160" t="s">
        <v>316</v>
      </c>
      <c r="DI44" s="160">
        <v>460</v>
      </c>
      <c r="DJ44" s="160">
        <v>460</v>
      </c>
      <c r="DL44" s="42"/>
      <c r="DM44" s="8" t="s">
        <v>316</v>
      </c>
      <c r="DN44" s="43" t="e">
        <f t="shared" si="29"/>
        <v>#DIV/0!</v>
      </c>
      <c r="DO44" s="52"/>
      <c r="DQ44" s="42"/>
      <c r="DR44" s="8" t="s">
        <v>316</v>
      </c>
      <c r="DS44" s="43" t="e">
        <f t="shared" si="30"/>
        <v>#DIV/0!</v>
      </c>
      <c r="DT44" s="52"/>
    </row>
    <row r="45" spans="1:124" ht="33">
      <c r="A45" s="4" t="s">
        <v>3</v>
      </c>
      <c r="B45" s="4" t="s">
        <v>30</v>
      </c>
      <c r="C45" s="6" t="s">
        <v>42</v>
      </c>
      <c r="D45" s="43">
        <f t="shared" si="25"/>
        <v>54.35</v>
      </c>
      <c r="E45" s="4" t="s">
        <v>313</v>
      </c>
      <c r="F45" s="43">
        <f t="shared" si="26"/>
        <v>436.6053357865685</v>
      </c>
      <c r="G45" s="59">
        <f t="shared" si="31"/>
        <v>19741.5</v>
      </c>
      <c r="J45" s="52">
        <f>2</f>
        <v>2</v>
      </c>
      <c r="K45" s="52">
        <f>2*395</f>
        <v>790</v>
      </c>
      <c r="L45" s="77">
        <f t="shared" si="32"/>
        <v>395</v>
      </c>
      <c r="M45" s="52">
        <f>3</f>
        <v>3</v>
      </c>
      <c r="N45" s="52">
        <f>380+395+395</f>
        <v>1170</v>
      </c>
      <c r="O45" s="52">
        <f t="shared" si="33"/>
        <v>390</v>
      </c>
      <c r="P45" s="52">
        <f>6+0.3+3</f>
        <v>9.3</v>
      </c>
      <c r="Q45" s="52">
        <f>6*395+118.5+3*395</f>
        <v>3673.5</v>
      </c>
      <c r="R45" s="52">
        <f t="shared" si="34"/>
        <v>394.99999999999994</v>
      </c>
      <c r="S45" s="52">
        <f>1.5</f>
        <v>1.5</v>
      </c>
      <c r="T45" s="52">
        <f>394+197</f>
        <v>591</v>
      </c>
      <c r="U45" s="52">
        <f t="shared" si="35"/>
        <v>394</v>
      </c>
      <c r="V45" s="52">
        <f>1.5+1.5</f>
        <v>3</v>
      </c>
      <c r="W45" s="52">
        <f>395+197.5+197.5+395</f>
        <v>1185</v>
      </c>
      <c r="X45" s="52">
        <f t="shared" si="36"/>
        <v>395</v>
      </c>
      <c r="Y45" s="52">
        <v>3</v>
      </c>
      <c r="Z45" s="52">
        <f>3*395</f>
        <v>1185</v>
      </c>
      <c r="AA45" s="52">
        <f t="shared" si="37"/>
        <v>395</v>
      </c>
      <c r="AB45" s="52">
        <f>1.5</f>
        <v>1.5</v>
      </c>
      <c r="AC45" s="52">
        <f>395+190</f>
        <v>585</v>
      </c>
      <c r="AD45" s="52">
        <f t="shared" si="38"/>
        <v>390</v>
      </c>
      <c r="AE45" s="52">
        <f>4</f>
        <v>4</v>
      </c>
      <c r="AF45" s="52">
        <f>4*380</f>
        <v>1520</v>
      </c>
      <c r="AG45" s="52">
        <f t="shared" si="39"/>
        <v>380</v>
      </c>
      <c r="AH45" s="52">
        <f>2</f>
        <v>2</v>
      </c>
      <c r="AI45" s="52">
        <f>197.5+190+395</f>
        <v>782.5</v>
      </c>
      <c r="AJ45" s="52">
        <f t="shared" si="40"/>
        <v>391.25</v>
      </c>
      <c r="AK45" s="52">
        <f>0.75</f>
        <v>0.75</v>
      </c>
      <c r="AL45" s="52">
        <f>285</f>
        <v>285</v>
      </c>
      <c r="AM45" s="52">
        <f t="shared" si="41"/>
        <v>380</v>
      </c>
      <c r="AN45" s="52">
        <f>1.5</f>
        <v>1.5</v>
      </c>
      <c r="AO45" s="52">
        <f>380+190</f>
        <v>570</v>
      </c>
      <c r="AP45" s="52">
        <f t="shared" si="42"/>
        <v>380</v>
      </c>
      <c r="AQ45" s="52">
        <f>1+2.75</f>
        <v>3.75</v>
      </c>
      <c r="AR45" s="52">
        <f>385+380+380+285</f>
        <v>1430</v>
      </c>
      <c r="AS45" s="52">
        <f t="shared" si="43"/>
        <v>381.3333333333333</v>
      </c>
      <c r="AT45" s="52">
        <f>2*0.8</f>
        <v>1.6</v>
      </c>
      <c r="AU45" s="52">
        <f>2*304</f>
        <v>608</v>
      </c>
      <c r="AV45" s="52">
        <f t="shared" si="44"/>
        <v>380</v>
      </c>
      <c r="AW45" s="52"/>
      <c r="AX45" s="52"/>
      <c r="AY45" s="52" t="e">
        <f t="shared" si="45"/>
        <v>#DIV/0!</v>
      </c>
      <c r="AZ45" s="52"/>
      <c r="BA45" s="52"/>
      <c r="BB45" s="52" t="e">
        <f t="shared" si="46"/>
        <v>#DIV/0!</v>
      </c>
      <c r="BC45" s="52"/>
      <c r="BD45" s="52"/>
      <c r="BE45" s="52" t="e">
        <f t="shared" si="47"/>
        <v>#DIV/0!</v>
      </c>
      <c r="BF45" s="52"/>
      <c r="BG45" s="52"/>
      <c r="BH45" s="52" t="e">
        <f t="shared" si="48"/>
        <v>#DIV/0!</v>
      </c>
      <c r="BI45" s="52"/>
      <c r="BJ45" s="52"/>
      <c r="BK45" s="52" t="e">
        <f t="shared" si="49"/>
        <v>#DIV/0!</v>
      </c>
      <c r="BL45" s="52">
        <f>1.2</f>
        <v>1.2</v>
      </c>
      <c r="BM45" s="52">
        <f>395+79</f>
        <v>474</v>
      </c>
      <c r="BN45" s="52">
        <f t="shared" si="50"/>
        <v>395</v>
      </c>
      <c r="BO45" s="52"/>
      <c r="BP45" s="52"/>
      <c r="BQ45" s="52" t="e">
        <f t="shared" si="51"/>
        <v>#DIV/0!</v>
      </c>
      <c r="BR45" s="52">
        <f>3.5</f>
        <v>3.5</v>
      </c>
      <c r="BS45" s="52">
        <f>3*395+197.5</f>
        <v>1382.5</v>
      </c>
      <c r="BT45" s="52">
        <f t="shared" si="52"/>
        <v>395</v>
      </c>
      <c r="BU45" s="52">
        <f>3</f>
        <v>3</v>
      </c>
      <c r="BV45" s="52">
        <f>3*395</f>
        <v>1185</v>
      </c>
      <c r="BW45" s="52">
        <f t="shared" si="53"/>
        <v>395</v>
      </c>
      <c r="BX45" s="52">
        <f>3</f>
        <v>3</v>
      </c>
      <c r="BY45" s="52">
        <f>3*395</f>
        <v>1185</v>
      </c>
      <c r="BZ45" s="52">
        <f t="shared" si="54"/>
        <v>395</v>
      </c>
      <c r="CA45" s="52"/>
      <c r="CB45" s="52"/>
      <c r="CC45" s="52" t="e">
        <f t="shared" si="55"/>
        <v>#DIV/0!</v>
      </c>
      <c r="CD45" s="33"/>
      <c r="CF45" s="59">
        <v>3</v>
      </c>
      <c r="CG45" s="59">
        <f>CF45*CH45</f>
        <v>1140</v>
      </c>
      <c r="CH45" s="59">
        <v>380</v>
      </c>
      <c r="CP45" s="80">
        <f t="shared" si="27"/>
        <v>23729.5</v>
      </c>
      <c r="CR45" s="145">
        <v>20</v>
      </c>
      <c r="CS45" s="149" t="s">
        <v>313</v>
      </c>
      <c r="CT45" s="145">
        <v>437.05</v>
      </c>
      <c r="CU45" s="147">
        <v>8741</v>
      </c>
      <c r="CW45" s="43">
        <f>'[4]Skolēnu Pils'!CW45+'[4]Laimīte'!CW45+'[4]Daugmale'!CW45+'[4]Altona'!CW45+'[4]Šaha'!CW45+'[4]BSKR_Rīga'!CW45</f>
        <v>0</v>
      </c>
      <c r="CX45" s="4" t="s">
        <v>313</v>
      </c>
      <c r="CY45" s="43" t="e">
        <f t="shared" si="28"/>
        <v>#DIV/0!</v>
      </c>
      <c r="CZ45" s="139">
        <f>'[4]Skolēnu Pils'!CZ45+'[4]Laimīte'!CZ45+'[4]Daugmale'!CZ45+'[4]Altona'!CZ45+'[4]Šaha'!CZ45+'[4]BSKR_Rīga'!CZ45</f>
        <v>0</v>
      </c>
      <c r="DB45" s="152">
        <v>20.85</v>
      </c>
      <c r="DC45" s="149" t="s">
        <v>313</v>
      </c>
      <c r="DD45" s="145">
        <v>438.63309352517985</v>
      </c>
      <c r="DE45" s="152">
        <v>9145.5</v>
      </c>
      <c r="DG45" s="160">
        <v>10.5</v>
      </c>
      <c r="DH45" s="160" t="s">
        <v>313</v>
      </c>
      <c r="DI45" s="160">
        <v>433.6190476190476</v>
      </c>
      <c r="DJ45" s="160">
        <v>4553</v>
      </c>
      <c r="DL45" s="42"/>
      <c r="DM45" s="4" t="s">
        <v>313</v>
      </c>
      <c r="DN45" s="43" t="e">
        <f t="shared" si="29"/>
        <v>#DIV/0!</v>
      </c>
      <c r="DO45" s="52"/>
      <c r="DQ45" s="42">
        <v>3</v>
      </c>
      <c r="DR45" s="4" t="s">
        <v>313</v>
      </c>
      <c r="DS45" s="43">
        <f t="shared" si="30"/>
        <v>430</v>
      </c>
      <c r="DT45" s="52">
        <f>430*3</f>
        <v>1290</v>
      </c>
    </row>
    <row r="46" spans="1:124" ht="33">
      <c r="A46" s="4" t="s">
        <v>3</v>
      </c>
      <c r="B46" s="4" t="s">
        <v>30</v>
      </c>
      <c r="C46" s="6" t="s">
        <v>53</v>
      </c>
      <c r="D46" s="43">
        <f t="shared" si="25"/>
        <v>17.8</v>
      </c>
      <c r="E46" s="4" t="s">
        <v>313</v>
      </c>
      <c r="F46" s="43">
        <f t="shared" si="26"/>
        <v>440.44943820224717</v>
      </c>
      <c r="G46" s="59">
        <f t="shared" si="31"/>
        <v>6444</v>
      </c>
      <c r="J46" s="52">
        <f>2</f>
        <v>2</v>
      </c>
      <c r="K46" s="52">
        <f>2*380</f>
        <v>760</v>
      </c>
      <c r="L46" s="77">
        <f t="shared" si="32"/>
        <v>380</v>
      </c>
      <c r="M46" s="52"/>
      <c r="N46" s="52"/>
      <c r="O46" s="52" t="e">
        <f t="shared" si="33"/>
        <v>#DIV/0!</v>
      </c>
      <c r="P46" s="52"/>
      <c r="Q46" s="52"/>
      <c r="R46" s="52" t="e">
        <f t="shared" si="34"/>
        <v>#DIV/0!</v>
      </c>
      <c r="S46" s="52">
        <f>1.5</f>
        <v>1.5</v>
      </c>
      <c r="T46" s="52">
        <f>380+190</f>
        <v>570</v>
      </c>
      <c r="U46" s="52">
        <f t="shared" si="35"/>
        <v>380</v>
      </c>
      <c r="V46" s="52">
        <f>1</f>
        <v>1</v>
      </c>
      <c r="W46" s="52">
        <f>380</f>
        <v>380</v>
      </c>
      <c r="X46" s="52">
        <f t="shared" si="36"/>
        <v>380</v>
      </c>
      <c r="Y46" s="52">
        <f>2</f>
        <v>2</v>
      </c>
      <c r="Z46" s="52">
        <f>2*380</f>
        <v>760</v>
      </c>
      <c r="AA46" s="52">
        <f t="shared" si="37"/>
        <v>380</v>
      </c>
      <c r="AB46" s="52">
        <f>1</f>
        <v>1</v>
      </c>
      <c r="AC46" s="52">
        <f>380</f>
        <v>380</v>
      </c>
      <c r="AD46" s="52">
        <f t="shared" si="38"/>
        <v>380</v>
      </c>
      <c r="AE46" s="52">
        <f>1</f>
        <v>1</v>
      </c>
      <c r="AF46" s="52">
        <f>380</f>
        <v>380</v>
      </c>
      <c r="AG46" s="52">
        <f t="shared" si="39"/>
        <v>380</v>
      </c>
      <c r="AH46" s="52"/>
      <c r="AI46" s="52"/>
      <c r="AJ46" s="52" t="e">
        <f t="shared" si="40"/>
        <v>#DIV/0!</v>
      </c>
      <c r="AK46" s="52">
        <f>1.5</f>
        <v>1.5</v>
      </c>
      <c r="AL46" s="52">
        <f>285+285</f>
        <v>570</v>
      </c>
      <c r="AM46" s="52">
        <f t="shared" si="41"/>
        <v>380</v>
      </c>
      <c r="AN46" s="52"/>
      <c r="AO46" s="52"/>
      <c r="AP46" s="52" t="e">
        <f t="shared" si="42"/>
        <v>#DIV/0!</v>
      </c>
      <c r="AQ46" s="52">
        <f>1</f>
        <v>1</v>
      </c>
      <c r="AR46" s="52">
        <f>380</f>
        <v>380</v>
      </c>
      <c r="AS46" s="52">
        <f t="shared" si="43"/>
        <v>380</v>
      </c>
      <c r="AT46" s="52">
        <f>0.8</f>
        <v>0.8</v>
      </c>
      <c r="AU46" s="52">
        <f>304</f>
        <v>304</v>
      </c>
      <c r="AV46" s="52">
        <f t="shared" si="44"/>
        <v>380</v>
      </c>
      <c r="AW46" s="52"/>
      <c r="AX46" s="52"/>
      <c r="AY46" s="52" t="e">
        <f t="shared" si="45"/>
        <v>#DIV/0!</v>
      </c>
      <c r="AZ46" s="52"/>
      <c r="BA46" s="52"/>
      <c r="BB46" s="52" t="e">
        <f t="shared" si="46"/>
        <v>#DIV/0!</v>
      </c>
      <c r="BC46" s="52"/>
      <c r="BD46" s="52"/>
      <c r="BE46" s="52" t="e">
        <f t="shared" si="47"/>
        <v>#DIV/0!</v>
      </c>
      <c r="BF46" s="52"/>
      <c r="BG46" s="52"/>
      <c r="BH46" s="52" t="e">
        <f t="shared" si="48"/>
        <v>#DIV/0!</v>
      </c>
      <c r="BI46" s="52"/>
      <c r="BJ46" s="52"/>
      <c r="BK46" s="52" t="e">
        <f t="shared" si="49"/>
        <v>#DIV/0!</v>
      </c>
      <c r="BL46" s="52"/>
      <c r="BM46" s="52"/>
      <c r="BN46" s="52" t="e">
        <f t="shared" si="50"/>
        <v>#DIV/0!</v>
      </c>
      <c r="BO46" s="52"/>
      <c r="BP46" s="52"/>
      <c r="BQ46" s="52" t="e">
        <f t="shared" si="51"/>
        <v>#DIV/0!</v>
      </c>
      <c r="BR46" s="52"/>
      <c r="BS46" s="52"/>
      <c r="BT46" s="52" t="e">
        <f t="shared" si="52"/>
        <v>#DIV/0!</v>
      </c>
      <c r="BU46" s="52"/>
      <c r="BV46" s="52"/>
      <c r="BW46" s="52" t="e">
        <f t="shared" si="53"/>
        <v>#DIV/0!</v>
      </c>
      <c r="BX46" s="52"/>
      <c r="BY46" s="52"/>
      <c r="BZ46" s="52" t="e">
        <f t="shared" si="54"/>
        <v>#DIV/0!</v>
      </c>
      <c r="CA46" s="52">
        <f>4</f>
        <v>4</v>
      </c>
      <c r="CB46" s="52">
        <f>4*395</f>
        <v>1580</v>
      </c>
      <c r="CC46" s="52">
        <f t="shared" si="55"/>
        <v>395</v>
      </c>
      <c r="CD46" s="33"/>
      <c r="CF46" s="59">
        <v>1</v>
      </c>
      <c r="CG46" s="59">
        <v>380</v>
      </c>
      <c r="CH46" s="59">
        <v>380</v>
      </c>
      <c r="CP46" s="80">
        <f t="shared" si="27"/>
        <v>7840</v>
      </c>
      <c r="CR46" s="145">
        <v>7</v>
      </c>
      <c r="CS46" s="149" t="s">
        <v>313</v>
      </c>
      <c r="CT46" s="145">
        <v>452.2857142857143</v>
      </c>
      <c r="CU46" s="147">
        <v>3166</v>
      </c>
      <c r="CW46" s="43">
        <f>'[4]Skolēnu Pils'!CW46+'[4]Laimīte'!CW46+'[4]Daugmale'!CW46+'[4]Altona'!CW46+'[4]Šaha'!CW46+'[4]BSKR_Rīga'!CW46</f>
        <v>0</v>
      </c>
      <c r="CX46" s="4" t="s">
        <v>313</v>
      </c>
      <c r="CY46" s="43" t="e">
        <f t="shared" si="28"/>
        <v>#DIV/0!</v>
      </c>
      <c r="CZ46" s="139">
        <f>'[4]Skolēnu Pils'!CZ46+'[4]Laimīte'!CZ46+'[4]Daugmale'!CZ46+'[4]Altona'!CZ46+'[4]Šaha'!CZ46+'[4]BSKR_Rīga'!CZ46</f>
        <v>0</v>
      </c>
      <c r="DB46" s="152">
        <v>9.8</v>
      </c>
      <c r="DC46" s="149" t="s">
        <v>313</v>
      </c>
      <c r="DD46" s="145">
        <v>433.0612244897959</v>
      </c>
      <c r="DE46" s="152">
        <v>4244</v>
      </c>
      <c r="DG46" s="160">
        <v>0</v>
      </c>
      <c r="DH46" s="160" t="s">
        <v>313</v>
      </c>
      <c r="DI46" s="160" t="e">
        <v>#DIV/0!</v>
      </c>
      <c r="DJ46" s="160">
        <v>0</v>
      </c>
      <c r="DL46" s="42"/>
      <c r="DM46" s="4" t="s">
        <v>313</v>
      </c>
      <c r="DN46" s="43" t="e">
        <f t="shared" si="29"/>
        <v>#DIV/0!</v>
      </c>
      <c r="DO46" s="52"/>
      <c r="DQ46" s="42">
        <v>1</v>
      </c>
      <c r="DR46" s="4" t="s">
        <v>313</v>
      </c>
      <c r="DS46" s="43">
        <f t="shared" si="30"/>
        <v>430</v>
      </c>
      <c r="DT46" s="52">
        <v>430</v>
      </c>
    </row>
    <row r="47" spans="1:124" ht="33">
      <c r="A47" s="3" t="s">
        <v>3</v>
      </c>
      <c r="B47" s="4" t="s">
        <v>30</v>
      </c>
      <c r="C47" s="6" t="s">
        <v>57</v>
      </c>
      <c r="D47" s="43">
        <f t="shared" si="25"/>
        <v>7</v>
      </c>
      <c r="E47" s="4" t="s">
        <v>313</v>
      </c>
      <c r="F47" s="43">
        <f t="shared" si="26"/>
        <v>440.42857142857144</v>
      </c>
      <c r="G47" s="59">
        <f t="shared" si="31"/>
        <v>2720</v>
      </c>
      <c r="J47" s="52"/>
      <c r="K47" s="52"/>
      <c r="L47" s="77" t="e">
        <f t="shared" si="32"/>
        <v>#DIV/0!</v>
      </c>
      <c r="M47" s="52"/>
      <c r="N47" s="52"/>
      <c r="O47" s="52" t="e">
        <f t="shared" si="33"/>
        <v>#DIV/0!</v>
      </c>
      <c r="P47" s="52"/>
      <c r="Q47" s="52"/>
      <c r="R47" s="52" t="e">
        <f t="shared" si="34"/>
        <v>#DIV/0!</v>
      </c>
      <c r="S47" s="52"/>
      <c r="T47" s="52"/>
      <c r="U47" s="52" t="e">
        <f t="shared" si="35"/>
        <v>#DIV/0!</v>
      </c>
      <c r="V47" s="52"/>
      <c r="W47" s="52"/>
      <c r="X47" s="52" t="e">
        <f t="shared" si="36"/>
        <v>#DIV/0!</v>
      </c>
      <c r="Y47" s="52"/>
      <c r="Z47" s="52"/>
      <c r="AA47" s="52" t="e">
        <f t="shared" si="37"/>
        <v>#DIV/0!</v>
      </c>
      <c r="AB47" s="52"/>
      <c r="AC47" s="52"/>
      <c r="AD47" s="52" t="e">
        <f t="shared" si="38"/>
        <v>#DIV/0!</v>
      </c>
      <c r="AE47" s="52"/>
      <c r="AF47" s="52"/>
      <c r="AG47" s="52" t="e">
        <f t="shared" si="39"/>
        <v>#DIV/0!</v>
      </c>
      <c r="AH47" s="52">
        <f>3</f>
        <v>3</v>
      </c>
      <c r="AI47" s="52">
        <f>3*395</f>
        <v>1185</v>
      </c>
      <c r="AJ47" s="52">
        <f t="shared" si="40"/>
        <v>395</v>
      </c>
      <c r="AK47" s="52"/>
      <c r="AL47" s="52"/>
      <c r="AM47" s="52" t="e">
        <f t="shared" si="41"/>
        <v>#DIV/0!</v>
      </c>
      <c r="AN47" s="52"/>
      <c r="AO47" s="52"/>
      <c r="AP47" s="52" t="e">
        <f t="shared" si="42"/>
        <v>#DIV/0!</v>
      </c>
      <c r="AQ47" s="52"/>
      <c r="AR47" s="52"/>
      <c r="AS47" s="52" t="e">
        <f t="shared" si="43"/>
        <v>#DIV/0!</v>
      </c>
      <c r="AT47" s="52"/>
      <c r="AU47" s="52"/>
      <c r="AV47" s="52" t="e">
        <f t="shared" si="44"/>
        <v>#DIV/0!</v>
      </c>
      <c r="AW47" s="52"/>
      <c r="AX47" s="52"/>
      <c r="AY47" s="52" t="e">
        <f t="shared" si="45"/>
        <v>#DIV/0!</v>
      </c>
      <c r="AZ47" s="52"/>
      <c r="BA47" s="52"/>
      <c r="BB47" s="52" t="e">
        <f t="shared" si="46"/>
        <v>#DIV/0!</v>
      </c>
      <c r="BC47" s="52"/>
      <c r="BD47" s="52"/>
      <c r="BE47" s="52" t="e">
        <f t="shared" si="47"/>
        <v>#DIV/0!</v>
      </c>
      <c r="BF47" s="52"/>
      <c r="BG47" s="52"/>
      <c r="BH47" s="52" t="e">
        <f t="shared" si="48"/>
        <v>#DIV/0!</v>
      </c>
      <c r="BI47" s="52"/>
      <c r="BJ47" s="52"/>
      <c r="BK47" s="52" t="e">
        <f t="shared" si="49"/>
        <v>#DIV/0!</v>
      </c>
      <c r="BL47" s="52"/>
      <c r="BM47" s="52"/>
      <c r="BN47" s="52" t="e">
        <f t="shared" si="50"/>
        <v>#DIV/0!</v>
      </c>
      <c r="BO47" s="52"/>
      <c r="BP47" s="52"/>
      <c r="BQ47" s="52" t="e">
        <f t="shared" si="51"/>
        <v>#DIV/0!</v>
      </c>
      <c r="BR47" s="52"/>
      <c r="BS47" s="52"/>
      <c r="BT47" s="52" t="e">
        <f t="shared" si="52"/>
        <v>#DIV/0!</v>
      </c>
      <c r="BU47" s="52"/>
      <c r="BV47" s="52"/>
      <c r="BW47" s="52" t="e">
        <f t="shared" si="53"/>
        <v>#DIV/0!</v>
      </c>
      <c r="BX47" s="52"/>
      <c r="BY47" s="52"/>
      <c r="BZ47" s="52" t="e">
        <f t="shared" si="54"/>
        <v>#DIV/0!</v>
      </c>
      <c r="CA47" s="52"/>
      <c r="CB47" s="52"/>
      <c r="CC47" s="52" t="e">
        <f t="shared" si="55"/>
        <v>#DIV/0!</v>
      </c>
      <c r="CD47" s="33"/>
      <c r="CF47" s="59">
        <v>4</v>
      </c>
      <c r="CG47" s="59">
        <f>CF47*CH47</f>
        <v>1535</v>
      </c>
      <c r="CH47" s="59">
        <v>383.75</v>
      </c>
      <c r="CP47" s="80">
        <f t="shared" si="27"/>
        <v>3083</v>
      </c>
      <c r="CR47" s="145">
        <v>3</v>
      </c>
      <c r="CS47" s="149" t="s">
        <v>313</v>
      </c>
      <c r="CT47" s="145">
        <v>447.6666666666667</v>
      </c>
      <c r="CU47" s="147">
        <v>1343</v>
      </c>
      <c r="CW47" s="43">
        <f>'[4]Skolēnu Pils'!CW47+'[4]Laimīte'!CW47+'[4]Daugmale'!CW47+'[4]Altona'!CW47+'[4]Šaha'!CW47+'[4]BSKR_Rīga'!CW47</f>
        <v>0</v>
      </c>
      <c r="CX47" s="4" t="s">
        <v>313</v>
      </c>
      <c r="CY47" s="43" t="e">
        <f t="shared" si="28"/>
        <v>#DIV/0!</v>
      </c>
      <c r="CZ47" s="139">
        <f>'[4]Skolēnu Pils'!CZ47+'[4]Laimīte'!CZ47+'[4]Daugmale'!CZ47+'[4]Altona'!CZ47+'[4]Šaha'!CZ47+'[4]BSKR_Rīga'!CZ47</f>
        <v>0</v>
      </c>
      <c r="DB47" s="152">
        <v>0</v>
      </c>
      <c r="DC47" s="149" t="s">
        <v>313</v>
      </c>
      <c r="DD47" s="145" t="e">
        <v>#DIV/0!</v>
      </c>
      <c r="DE47" s="152">
        <v>0</v>
      </c>
      <c r="DG47" s="160">
        <v>0</v>
      </c>
      <c r="DH47" s="160" t="s">
        <v>313</v>
      </c>
      <c r="DI47" s="160" t="e">
        <v>#DIV/0!</v>
      </c>
      <c r="DJ47" s="160">
        <v>0</v>
      </c>
      <c r="DL47" s="42"/>
      <c r="DM47" s="4" t="s">
        <v>313</v>
      </c>
      <c r="DN47" s="43" t="e">
        <f t="shared" si="29"/>
        <v>#DIV/0!</v>
      </c>
      <c r="DO47" s="52"/>
      <c r="DQ47" s="42">
        <v>4</v>
      </c>
      <c r="DR47" s="4" t="s">
        <v>313</v>
      </c>
      <c r="DS47" s="43">
        <f t="shared" si="30"/>
        <v>435</v>
      </c>
      <c r="DT47" s="52">
        <f>450+430*3</f>
        <v>1740</v>
      </c>
    </row>
    <row r="48" spans="1:124" ht="33">
      <c r="A48" s="3" t="s">
        <v>3</v>
      </c>
      <c r="B48" s="4" t="s">
        <v>30</v>
      </c>
      <c r="C48" s="6" t="s">
        <v>88</v>
      </c>
      <c r="D48" s="43">
        <f t="shared" si="25"/>
        <v>20.1</v>
      </c>
      <c r="E48" s="4" t="s">
        <v>313</v>
      </c>
      <c r="F48" s="43">
        <f t="shared" si="26"/>
        <v>438.40796019900495</v>
      </c>
      <c r="G48" s="59">
        <f t="shared" si="31"/>
        <v>5849</v>
      </c>
      <c r="J48" s="52"/>
      <c r="K48" s="52"/>
      <c r="L48" s="77" t="e">
        <f t="shared" si="32"/>
        <v>#DIV/0!</v>
      </c>
      <c r="M48" s="52"/>
      <c r="N48" s="52"/>
      <c r="O48" s="52" t="e">
        <f t="shared" si="33"/>
        <v>#DIV/0!</v>
      </c>
      <c r="P48" s="52"/>
      <c r="Q48" s="52"/>
      <c r="R48" s="52" t="e">
        <f t="shared" si="34"/>
        <v>#DIV/0!</v>
      </c>
      <c r="S48" s="52"/>
      <c r="T48" s="52"/>
      <c r="U48" s="52" t="e">
        <f t="shared" si="35"/>
        <v>#DIV/0!</v>
      </c>
      <c r="V48" s="52"/>
      <c r="W48" s="52"/>
      <c r="X48" s="52" t="e">
        <f t="shared" si="36"/>
        <v>#DIV/0!</v>
      </c>
      <c r="Y48" s="52"/>
      <c r="Z48" s="52"/>
      <c r="AA48" s="52" t="e">
        <f t="shared" si="37"/>
        <v>#DIV/0!</v>
      </c>
      <c r="AB48" s="52">
        <f>2</f>
        <v>2</v>
      </c>
      <c r="AC48" s="52">
        <f>2*395</f>
        <v>790</v>
      </c>
      <c r="AD48" s="52">
        <f t="shared" si="38"/>
        <v>395</v>
      </c>
      <c r="AE48" s="52">
        <f>1</f>
        <v>1</v>
      </c>
      <c r="AF48" s="52">
        <f>380</f>
        <v>380</v>
      </c>
      <c r="AG48" s="52">
        <f t="shared" si="39"/>
        <v>380</v>
      </c>
      <c r="AH48" s="52"/>
      <c r="AI48" s="52"/>
      <c r="AJ48" s="52" t="e">
        <f t="shared" si="40"/>
        <v>#DIV/0!</v>
      </c>
      <c r="AK48" s="52">
        <f>0.5</f>
        <v>0.5</v>
      </c>
      <c r="AL48" s="52">
        <f>190</f>
        <v>190</v>
      </c>
      <c r="AM48" s="52">
        <f t="shared" si="41"/>
        <v>380</v>
      </c>
      <c r="AN48" s="52">
        <f>0.5+0.6+0.5</f>
        <v>1.6</v>
      </c>
      <c r="AO48" s="52">
        <f>190+228+190</f>
        <v>608</v>
      </c>
      <c r="AP48" s="52">
        <f t="shared" si="42"/>
        <v>380</v>
      </c>
      <c r="AQ48" s="52">
        <f>1.5+1</f>
        <v>2.5</v>
      </c>
      <c r="AR48" s="52">
        <f>190+380+380</f>
        <v>950</v>
      </c>
      <c r="AS48" s="52">
        <f t="shared" si="43"/>
        <v>380</v>
      </c>
      <c r="AT48" s="52"/>
      <c r="AU48" s="52"/>
      <c r="AV48" s="52" t="e">
        <f t="shared" si="44"/>
        <v>#DIV/0!</v>
      </c>
      <c r="AW48" s="52"/>
      <c r="AX48" s="52"/>
      <c r="AY48" s="52" t="e">
        <f t="shared" si="45"/>
        <v>#DIV/0!</v>
      </c>
      <c r="AZ48" s="52">
        <f>1</f>
        <v>1</v>
      </c>
      <c r="BA48" s="52">
        <f>380</f>
        <v>380</v>
      </c>
      <c r="BB48" s="52">
        <f t="shared" si="46"/>
        <v>380</v>
      </c>
      <c r="BC48" s="52">
        <f>1</f>
        <v>1</v>
      </c>
      <c r="BD48" s="52">
        <f>395</f>
        <v>395</v>
      </c>
      <c r="BE48" s="52">
        <f t="shared" si="47"/>
        <v>395</v>
      </c>
      <c r="BF48" s="52"/>
      <c r="BG48" s="52"/>
      <c r="BH48" s="52" t="e">
        <f t="shared" si="48"/>
        <v>#DIV/0!</v>
      </c>
      <c r="BI48" s="52">
        <f>1</f>
        <v>1</v>
      </c>
      <c r="BJ48" s="52">
        <f>2*197.5</f>
        <v>395</v>
      </c>
      <c r="BK48" s="52">
        <f t="shared" si="49"/>
        <v>395</v>
      </c>
      <c r="BL48" s="52"/>
      <c r="BM48" s="52"/>
      <c r="BN48" s="52" t="e">
        <f t="shared" si="50"/>
        <v>#DIV/0!</v>
      </c>
      <c r="BO48" s="52">
        <f>3*0.5</f>
        <v>1.5</v>
      </c>
      <c r="BP48" s="52">
        <f>3*197</f>
        <v>591</v>
      </c>
      <c r="BQ48" s="52">
        <f t="shared" si="51"/>
        <v>394</v>
      </c>
      <c r="BR48" s="52">
        <f>1</f>
        <v>1</v>
      </c>
      <c r="BS48" s="52">
        <f>395</f>
        <v>395</v>
      </c>
      <c r="BT48" s="52">
        <f t="shared" si="52"/>
        <v>395</v>
      </c>
      <c r="BU48" s="52"/>
      <c r="BV48" s="52"/>
      <c r="BW48" s="52" t="e">
        <f t="shared" si="53"/>
        <v>#DIV/0!</v>
      </c>
      <c r="BX48" s="52"/>
      <c r="BY48" s="52"/>
      <c r="BZ48" s="52" t="e">
        <f t="shared" si="54"/>
        <v>#DIV/0!</v>
      </c>
      <c r="CA48" s="52">
        <f>1</f>
        <v>1</v>
      </c>
      <c r="CB48" s="52">
        <f>395</f>
        <v>395</v>
      </c>
      <c r="CC48" s="52">
        <f t="shared" si="55"/>
        <v>395</v>
      </c>
      <c r="CD48" s="33"/>
      <c r="CF48" s="59">
        <v>1</v>
      </c>
      <c r="CG48" s="59">
        <f>CF48*CH48</f>
        <v>380</v>
      </c>
      <c r="CH48" s="59">
        <v>380</v>
      </c>
      <c r="CP48" s="80">
        <f t="shared" si="27"/>
        <v>8812</v>
      </c>
      <c r="CR48" s="145">
        <v>3.5</v>
      </c>
      <c r="CS48" s="149" t="s">
        <v>313</v>
      </c>
      <c r="CT48" s="145">
        <v>430</v>
      </c>
      <c r="CU48" s="147">
        <v>1505</v>
      </c>
      <c r="CW48" s="43">
        <f>'[4]Skolēnu Pils'!CW48+'[4]Laimīte'!CW48+'[4]Daugmale'!CW48+'[4]Altona'!CW48+'[4]Šaha'!CW48+'[4]BSKR_Rīga'!CW48</f>
        <v>0</v>
      </c>
      <c r="CX48" s="4" t="s">
        <v>313</v>
      </c>
      <c r="CY48" s="43" t="e">
        <f t="shared" si="28"/>
        <v>#DIV/0!</v>
      </c>
      <c r="CZ48" s="139">
        <f>'[4]Skolēnu Pils'!CZ48+'[4]Laimīte'!CZ48+'[4]Daugmale'!CZ48+'[4]Altona'!CZ48+'[4]Šaha'!CZ48+'[4]BSKR_Rīga'!CZ48</f>
        <v>0</v>
      </c>
      <c r="DB48" s="152">
        <v>7.1</v>
      </c>
      <c r="DC48" s="149" t="s">
        <v>313</v>
      </c>
      <c r="DD48" s="145">
        <v>435.63380281690144</v>
      </c>
      <c r="DE48" s="152">
        <v>3093</v>
      </c>
      <c r="DG48" s="160">
        <v>8.5</v>
      </c>
      <c r="DH48" s="160" t="s">
        <v>313</v>
      </c>
      <c r="DI48" s="160">
        <v>441.6470588235294</v>
      </c>
      <c r="DJ48" s="160">
        <v>3754</v>
      </c>
      <c r="DL48" s="42"/>
      <c r="DM48" s="4" t="s">
        <v>313</v>
      </c>
      <c r="DN48" s="43" t="e">
        <f t="shared" si="29"/>
        <v>#DIV/0!</v>
      </c>
      <c r="DO48" s="52"/>
      <c r="DQ48" s="42">
        <v>1</v>
      </c>
      <c r="DR48" s="4" t="s">
        <v>313</v>
      </c>
      <c r="DS48" s="43">
        <f t="shared" si="30"/>
        <v>460</v>
      </c>
      <c r="DT48" s="52">
        <v>460</v>
      </c>
    </row>
    <row r="49" spans="1:124" ht="33">
      <c r="A49" s="3" t="s">
        <v>3</v>
      </c>
      <c r="B49" s="4" t="s">
        <v>30</v>
      </c>
      <c r="C49" s="6" t="s">
        <v>131</v>
      </c>
      <c r="D49" s="43">
        <f t="shared" si="25"/>
        <v>6</v>
      </c>
      <c r="E49" s="4" t="s">
        <v>313</v>
      </c>
      <c r="F49" s="43">
        <f t="shared" si="26"/>
        <v>460</v>
      </c>
      <c r="G49" s="59">
        <f t="shared" si="31"/>
        <v>2295</v>
      </c>
      <c r="J49" s="52"/>
      <c r="K49" s="52"/>
      <c r="L49" s="77" t="e">
        <f t="shared" si="32"/>
        <v>#DIV/0!</v>
      </c>
      <c r="M49" s="52"/>
      <c r="N49" s="52"/>
      <c r="O49" s="52" t="e">
        <f t="shared" si="33"/>
        <v>#DIV/0!</v>
      </c>
      <c r="P49" s="52"/>
      <c r="Q49" s="52"/>
      <c r="R49" s="52" t="e">
        <f t="shared" si="34"/>
        <v>#DIV/0!</v>
      </c>
      <c r="S49" s="52"/>
      <c r="T49" s="52"/>
      <c r="U49" s="52" t="e">
        <f t="shared" si="35"/>
        <v>#DIV/0!</v>
      </c>
      <c r="V49" s="52"/>
      <c r="W49" s="52"/>
      <c r="X49" s="52" t="e">
        <f t="shared" si="36"/>
        <v>#DIV/0!</v>
      </c>
      <c r="Y49" s="52"/>
      <c r="Z49" s="52"/>
      <c r="AA49" s="52" t="e">
        <f t="shared" si="37"/>
        <v>#DIV/0!</v>
      </c>
      <c r="AB49" s="52"/>
      <c r="AC49" s="52"/>
      <c r="AD49" s="52" t="e">
        <f t="shared" si="38"/>
        <v>#DIV/0!</v>
      </c>
      <c r="AE49" s="52"/>
      <c r="AF49" s="52"/>
      <c r="AG49" s="52" t="e">
        <f t="shared" si="39"/>
        <v>#DIV/0!</v>
      </c>
      <c r="AH49" s="52"/>
      <c r="AI49" s="52"/>
      <c r="AJ49" s="52" t="e">
        <f t="shared" si="40"/>
        <v>#DIV/0!</v>
      </c>
      <c r="AK49" s="52"/>
      <c r="AL49" s="52"/>
      <c r="AM49" s="52" t="e">
        <f t="shared" si="41"/>
        <v>#DIV/0!</v>
      </c>
      <c r="AN49" s="52"/>
      <c r="AO49" s="52"/>
      <c r="AP49" s="52" t="e">
        <f t="shared" si="42"/>
        <v>#DIV/0!</v>
      </c>
      <c r="AQ49" s="52"/>
      <c r="AR49" s="52"/>
      <c r="AS49" s="52" t="e">
        <f t="shared" si="43"/>
        <v>#DIV/0!</v>
      </c>
      <c r="AT49" s="52"/>
      <c r="AU49" s="52"/>
      <c r="AV49" s="52" t="e">
        <f t="shared" si="44"/>
        <v>#DIV/0!</v>
      </c>
      <c r="AW49" s="52"/>
      <c r="AX49" s="52"/>
      <c r="AY49" s="52" t="e">
        <f t="shared" si="45"/>
        <v>#DIV/0!</v>
      </c>
      <c r="AZ49" s="52"/>
      <c r="BA49" s="52"/>
      <c r="BB49" s="52" t="e">
        <f t="shared" si="46"/>
        <v>#DIV/0!</v>
      </c>
      <c r="BC49" s="52"/>
      <c r="BD49" s="52"/>
      <c r="BE49" s="52" t="e">
        <f t="shared" si="47"/>
        <v>#DIV/0!</v>
      </c>
      <c r="BF49" s="52">
        <f>1+1+1+1+1+1</f>
        <v>6</v>
      </c>
      <c r="BG49" s="52">
        <f>395+380+380+380+380+380</f>
        <v>2295</v>
      </c>
      <c r="BH49" s="52">
        <f t="shared" si="48"/>
        <v>382.5</v>
      </c>
      <c r="BI49" s="52"/>
      <c r="BJ49" s="52"/>
      <c r="BK49" s="52" t="e">
        <f t="shared" si="49"/>
        <v>#DIV/0!</v>
      </c>
      <c r="BL49" s="52"/>
      <c r="BM49" s="52"/>
      <c r="BN49" s="52" t="e">
        <f t="shared" si="50"/>
        <v>#DIV/0!</v>
      </c>
      <c r="BO49" s="52"/>
      <c r="BP49" s="52"/>
      <c r="BQ49" s="52" t="e">
        <f t="shared" si="51"/>
        <v>#DIV/0!</v>
      </c>
      <c r="BR49" s="52"/>
      <c r="BS49" s="52"/>
      <c r="BT49" s="52" t="e">
        <f t="shared" si="52"/>
        <v>#DIV/0!</v>
      </c>
      <c r="BU49" s="52"/>
      <c r="BV49" s="52"/>
      <c r="BW49" s="52" t="e">
        <f t="shared" si="53"/>
        <v>#DIV/0!</v>
      </c>
      <c r="BX49" s="52"/>
      <c r="BY49" s="52"/>
      <c r="BZ49" s="52" t="e">
        <f t="shared" si="54"/>
        <v>#DIV/0!</v>
      </c>
      <c r="CA49" s="52"/>
      <c r="CB49" s="52"/>
      <c r="CC49" s="52" t="e">
        <f t="shared" si="55"/>
        <v>#DIV/0!</v>
      </c>
      <c r="CD49" s="33"/>
      <c r="CH49" s="59">
        <f>CF49*CG49</f>
        <v>0</v>
      </c>
      <c r="CP49" s="80">
        <f t="shared" si="27"/>
        <v>2760</v>
      </c>
      <c r="CR49" s="145">
        <v>0</v>
      </c>
      <c r="CS49" s="149" t="s">
        <v>313</v>
      </c>
      <c r="CT49" s="145" t="e">
        <v>#DIV/0!</v>
      </c>
      <c r="CU49" s="147">
        <v>0</v>
      </c>
      <c r="CW49" s="43">
        <f>'[4]Skolēnu Pils'!CW49+'[4]Laimīte'!CW49+'[4]Daugmale'!CW49+'[4]Altona'!CW49+'[4]Šaha'!CW49+'[4]BSKR_Rīga'!CW49</f>
        <v>0</v>
      </c>
      <c r="CX49" s="4" t="s">
        <v>313</v>
      </c>
      <c r="CY49" s="43" t="e">
        <f t="shared" si="28"/>
        <v>#DIV/0!</v>
      </c>
      <c r="CZ49" s="139">
        <f>'[4]Skolēnu Pils'!CZ49+'[4]Laimīte'!CZ49+'[4]Daugmale'!CZ49+'[4]Altona'!CZ49+'[4]Šaha'!CZ49+'[4]BSKR_Rīga'!CZ49</f>
        <v>0</v>
      </c>
      <c r="DB49" s="152">
        <v>0</v>
      </c>
      <c r="DC49" s="149" t="s">
        <v>313</v>
      </c>
      <c r="DD49" s="145" t="e">
        <v>#DIV/0!</v>
      </c>
      <c r="DE49" s="152">
        <v>0</v>
      </c>
      <c r="DG49" s="160">
        <v>6</v>
      </c>
      <c r="DH49" s="160" t="s">
        <v>313</v>
      </c>
      <c r="DI49" s="160">
        <v>460</v>
      </c>
      <c r="DJ49" s="160">
        <v>2760</v>
      </c>
      <c r="DL49" s="42"/>
      <c r="DM49" s="4" t="s">
        <v>313</v>
      </c>
      <c r="DN49" s="43" t="e">
        <f t="shared" si="29"/>
        <v>#DIV/0!</v>
      </c>
      <c r="DO49" s="52"/>
      <c r="DQ49" s="42"/>
      <c r="DR49" s="4" t="s">
        <v>313</v>
      </c>
      <c r="DS49" s="43" t="e">
        <f t="shared" si="30"/>
        <v>#DIV/0!</v>
      </c>
      <c r="DT49" s="52"/>
    </row>
    <row r="50" spans="1:124" ht="33">
      <c r="A50" s="3" t="s">
        <v>3</v>
      </c>
      <c r="B50" s="4" t="s">
        <v>5</v>
      </c>
      <c r="C50" s="6" t="s">
        <v>62</v>
      </c>
      <c r="D50" s="43">
        <f t="shared" si="25"/>
        <v>0.5</v>
      </c>
      <c r="E50" s="4" t="s">
        <v>313</v>
      </c>
      <c r="F50" s="43">
        <f t="shared" si="26"/>
        <v>430</v>
      </c>
      <c r="G50" s="59">
        <f t="shared" si="31"/>
        <v>197.5</v>
      </c>
      <c r="J50" s="52"/>
      <c r="K50" s="52"/>
      <c r="L50" s="77" t="e">
        <f t="shared" si="32"/>
        <v>#DIV/0!</v>
      </c>
      <c r="M50" s="52"/>
      <c r="N50" s="52"/>
      <c r="O50" s="52" t="e">
        <f t="shared" si="33"/>
        <v>#DIV/0!</v>
      </c>
      <c r="P50" s="52"/>
      <c r="Q50" s="52"/>
      <c r="R50" s="52" t="e">
        <f t="shared" si="34"/>
        <v>#DIV/0!</v>
      </c>
      <c r="S50" s="52"/>
      <c r="T50" s="52"/>
      <c r="U50" s="52" t="e">
        <f t="shared" si="35"/>
        <v>#DIV/0!</v>
      </c>
      <c r="V50" s="52"/>
      <c r="W50" s="52"/>
      <c r="X50" s="52" t="e">
        <f t="shared" si="36"/>
        <v>#DIV/0!</v>
      </c>
      <c r="Y50" s="52"/>
      <c r="Z50" s="52"/>
      <c r="AA50" s="52" t="e">
        <f t="shared" si="37"/>
        <v>#DIV/0!</v>
      </c>
      <c r="AB50" s="52"/>
      <c r="AC50" s="52"/>
      <c r="AD50" s="52" t="e">
        <f t="shared" si="38"/>
        <v>#DIV/0!</v>
      </c>
      <c r="AE50" s="52"/>
      <c r="AF50" s="52"/>
      <c r="AG50" s="52" t="e">
        <f t="shared" si="39"/>
        <v>#DIV/0!</v>
      </c>
      <c r="AH50" s="52"/>
      <c r="AI50" s="52"/>
      <c r="AJ50" s="52" t="e">
        <f t="shared" si="40"/>
        <v>#DIV/0!</v>
      </c>
      <c r="AK50" s="52"/>
      <c r="AL50" s="52"/>
      <c r="AM50" s="52" t="e">
        <f t="shared" si="41"/>
        <v>#DIV/0!</v>
      </c>
      <c r="AN50" s="52"/>
      <c r="AO50" s="52"/>
      <c r="AP50" s="52" t="e">
        <f t="shared" si="42"/>
        <v>#DIV/0!</v>
      </c>
      <c r="AQ50" s="52"/>
      <c r="AR50" s="52"/>
      <c r="AS50" s="52" t="e">
        <f t="shared" si="43"/>
        <v>#DIV/0!</v>
      </c>
      <c r="AT50" s="52"/>
      <c r="AU50" s="52"/>
      <c r="AV50" s="52" t="e">
        <f t="shared" si="44"/>
        <v>#DIV/0!</v>
      </c>
      <c r="AW50" s="52"/>
      <c r="AX50" s="52"/>
      <c r="AY50" s="52" t="e">
        <f t="shared" si="45"/>
        <v>#DIV/0!</v>
      </c>
      <c r="AZ50" s="52"/>
      <c r="BA50" s="52"/>
      <c r="BB50" s="52" t="e">
        <f t="shared" si="46"/>
        <v>#DIV/0!</v>
      </c>
      <c r="BC50" s="52"/>
      <c r="BD50" s="52"/>
      <c r="BE50" s="52" t="e">
        <f t="shared" si="47"/>
        <v>#DIV/0!</v>
      </c>
      <c r="BF50" s="52"/>
      <c r="BG50" s="52"/>
      <c r="BH50" s="52" t="e">
        <f t="shared" si="48"/>
        <v>#DIV/0!</v>
      </c>
      <c r="BI50" s="52"/>
      <c r="BJ50" s="52"/>
      <c r="BK50" s="52" t="e">
        <f t="shared" si="49"/>
        <v>#DIV/0!</v>
      </c>
      <c r="BL50" s="52"/>
      <c r="BM50" s="52"/>
      <c r="BN50" s="52" t="e">
        <f t="shared" si="50"/>
        <v>#DIV/0!</v>
      </c>
      <c r="BO50" s="52"/>
      <c r="BP50" s="52"/>
      <c r="BQ50" s="52" t="e">
        <f t="shared" si="51"/>
        <v>#DIV/0!</v>
      </c>
      <c r="BR50" s="52"/>
      <c r="BS50" s="52"/>
      <c r="BT50" s="52" t="e">
        <f t="shared" si="52"/>
        <v>#DIV/0!</v>
      </c>
      <c r="BU50" s="52"/>
      <c r="BV50" s="52"/>
      <c r="BW50" s="52" t="e">
        <f t="shared" si="53"/>
        <v>#DIV/0!</v>
      </c>
      <c r="BX50" s="52">
        <f>0.5</f>
        <v>0.5</v>
      </c>
      <c r="BY50" s="52">
        <f>197.5</f>
        <v>197.5</v>
      </c>
      <c r="BZ50" s="52">
        <f t="shared" si="54"/>
        <v>395</v>
      </c>
      <c r="CA50" s="52"/>
      <c r="CB50" s="52"/>
      <c r="CC50" s="52" t="e">
        <f t="shared" si="55"/>
        <v>#DIV/0!</v>
      </c>
      <c r="CD50" s="33"/>
      <c r="CH50" s="59">
        <f>CF50*CG50</f>
        <v>0</v>
      </c>
      <c r="CP50" s="80">
        <f t="shared" si="27"/>
        <v>215</v>
      </c>
      <c r="CR50" s="145">
        <v>0</v>
      </c>
      <c r="CS50" s="149" t="s">
        <v>313</v>
      </c>
      <c r="CT50" s="145" t="e">
        <v>#DIV/0!</v>
      </c>
      <c r="CU50" s="147">
        <v>0</v>
      </c>
      <c r="CW50" s="43">
        <f>'[4]Skolēnu Pils'!CW50+'[4]Laimīte'!CW50+'[4]Daugmale'!CW50+'[4]Altona'!CW50+'[4]Šaha'!CW50+'[4]BSKR_Rīga'!CW50</f>
        <v>0</v>
      </c>
      <c r="CX50" s="4" t="s">
        <v>313</v>
      </c>
      <c r="CY50" s="43" t="e">
        <f t="shared" si="28"/>
        <v>#DIV/0!</v>
      </c>
      <c r="CZ50" s="139">
        <f>'[4]Skolēnu Pils'!CZ50+'[4]Laimīte'!CZ50+'[4]Daugmale'!CZ50+'[4]Altona'!CZ50+'[4]Šaha'!CZ50+'[4]BSKR_Rīga'!CZ50</f>
        <v>0</v>
      </c>
      <c r="DB50" s="152">
        <v>0</v>
      </c>
      <c r="DC50" s="149" t="s">
        <v>313</v>
      </c>
      <c r="DD50" s="145" t="e">
        <v>#DIV/0!</v>
      </c>
      <c r="DE50" s="152">
        <v>0</v>
      </c>
      <c r="DG50" s="160">
        <v>0.5</v>
      </c>
      <c r="DH50" s="160" t="s">
        <v>313</v>
      </c>
      <c r="DI50" s="160">
        <v>430</v>
      </c>
      <c r="DJ50" s="160">
        <v>215</v>
      </c>
      <c r="DL50" s="42"/>
      <c r="DM50" s="4" t="s">
        <v>313</v>
      </c>
      <c r="DN50" s="43" t="e">
        <f t="shared" si="29"/>
        <v>#DIV/0!</v>
      </c>
      <c r="DO50" s="52"/>
      <c r="DQ50" s="42"/>
      <c r="DR50" s="4" t="s">
        <v>313</v>
      </c>
      <c r="DS50" s="43" t="e">
        <f t="shared" si="30"/>
        <v>#DIV/0!</v>
      </c>
      <c r="DT50" s="52"/>
    </row>
    <row r="51" spans="1:124" ht="33">
      <c r="A51" s="3" t="s">
        <v>3</v>
      </c>
      <c r="B51" s="4" t="s">
        <v>5</v>
      </c>
      <c r="C51" s="6" t="s">
        <v>81</v>
      </c>
      <c r="D51" s="43">
        <f t="shared" si="25"/>
        <v>45.2</v>
      </c>
      <c r="E51" s="4" t="s">
        <v>313</v>
      </c>
      <c r="F51" s="43">
        <f t="shared" si="26"/>
        <v>435.9070796460177</v>
      </c>
      <c r="G51" s="59">
        <f t="shared" si="31"/>
        <v>15513</v>
      </c>
      <c r="J51" s="52">
        <f>2</f>
        <v>2</v>
      </c>
      <c r="K51" s="52">
        <f>2*380</f>
        <v>760</v>
      </c>
      <c r="L51" s="77">
        <f t="shared" si="32"/>
        <v>380</v>
      </c>
      <c r="M51" s="52"/>
      <c r="N51" s="52"/>
      <c r="O51" s="52" t="e">
        <f t="shared" si="33"/>
        <v>#DIV/0!</v>
      </c>
      <c r="P51" s="52">
        <f>2+2</f>
        <v>4</v>
      </c>
      <c r="Q51" s="52">
        <f>2*395+2*395</f>
        <v>1580</v>
      </c>
      <c r="R51" s="52">
        <f t="shared" si="34"/>
        <v>395</v>
      </c>
      <c r="S51" s="52">
        <f>1</f>
        <v>1</v>
      </c>
      <c r="T51" s="52">
        <f>380</f>
        <v>380</v>
      </c>
      <c r="U51" s="52">
        <f t="shared" si="35"/>
        <v>380</v>
      </c>
      <c r="V51" s="52">
        <f>2</f>
        <v>2</v>
      </c>
      <c r="W51" s="52">
        <f>2*380</f>
        <v>760</v>
      </c>
      <c r="X51" s="52">
        <f t="shared" si="36"/>
        <v>380</v>
      </c>
      <c r="Y51" s="52"/>
      <c r="Z51" s="52"/>
      <c r="AA51" s="52" t="e">
        <f t="shared" si="37"/>
        <v>#DIV/0!</v>
      </c>
      <c r="AB51" s="52">
        <f>1</f>
        <v>1</v>
      </c>
      <c r="AC51" s="52">
        <f>395</f>
        <v>395</v>
      </c>
      <c r="AD51" s="52">
        <f t="shared" si="38"/>
        <v>395</v>
      </c>
      <c r="AE51" s="52">
        <v>1</v>
      </c>
      <c r="AF51" s="52">
        <f>380</f>
        <v>380</v>
      </c>
      <c r="AG51" s="52">
        <f t="shared" si="39"/>
        <v>380</v>
      </c>
      <c r="AH51" s="52">
        <f>1</f>
        <v>1</v>
      </c>
      <c r="AI51" s="52">
        <f>395</f>
        <v>395</v>
      </c>
      <c r="AJ51" s="52">
        <f t="shared" si="40"/>
        <v>395</v>
      </c>
      <c r="AK51" s="52"/>
      <c r="AL51" s="52"/>
      <c r="AM51" s="52" t="e">
        <f t="shared" si="41"/>
        <v>#DIV/0!</v>
      </c>
      <c r="AN51" s="52">
        <f>1</f>
        <v>1</v>
      </c>
      <c r="AO51" s="52">
        <f>380</f>
        <v>380</v>
      </c>
      <c r="AP51" s="52">
        <f t="shared" si="42"/>
        <v>380</v>
      </c>
      <c r="AQ51" s="52">
        <f>1+2+2</f>
        <v>5</v>
      </c>
      <c r="AR51" s="52">
        <f>380+2*380+2*380</f>
        <v>1900</v>
      </c>
      <c r="AS51" s="52">
        <f t="shared" si="43"/>
        <v>380</v>
      </c>
      <c r="AT51" s="52">
        <f>2</f>
        <v>2</v>
      </c>
      <c r="AU51" s="52">
        <f>2*380</f>
        <v>760</v>
      </c>
      <c r="AV51" s="52">
        <f t="shared" si="44"/>
        <v>380</v>
      </c>
      <c r="AW51" s="52">
        <f>1</f>
        <v>1</v>
      </c>
      <c r="AX51" s="52">
        <f>380</f>
        <v>380</v>
      </c>
      <c r="AY51" s="52">
        <f t="shared" si="45"/>
        <v>380</v>
      </c>
      <c r="AZ51" s="52"/>
      <c r="BA51" s="52"/>
      <c r="BB51" s="52" t="e">
        <f t="shared" si="46"/>
        <v>#DIV/0!</v>
      </c>
      <c r="BC51" s="52">
        <v>3</v>
      </c>
      <c r="BD51" s="52">
        <f>3*395</f>
        <v>1185</v>
      </c>
      <c r="BE51" s="52">
        <f t="shared" si="47"/>
        <v>395</v>
      </c>
      <c r="BF51" s="52">
        <f>2</f>
        <v>2</v>
      </c>
      <c r="BG51" s="52">
        <f>380+380</f>
        <v>760</v>
      </c>
      <c r="BH51" s="52">
        <f t="shared" si="48"/>
        <v>380</v>
      </c>
      <c r="BI51" s="52">
        <f>1</f>
        <v>1</v>
      </c>
      <c r="BJ51" s="52">
        <f>395</f>
        <v>395</v>
      </c>
      <c r="BK51" s="52">
        <f t="shared" si="49"/>
        <v>395</v>
      </c>
      <c r="BL51" s="52"/>
      <c r="BM51" s="52"/>
      <c r="BN51" s="52" t="e">
        <f t="shared" si="50"/>
        <v>#DIV/0!</v>
      </c>
      <c r="BO51" s="52">
        <f>1.5</f>
        <v>1.5</v>
      </c>
      <c r="BP51" s="52">
        <f>3*197</f>
        <v>591</v>
      </c>
      <c r="BQ51" s="52">
        <f t="shared" si="51"/>
        <v>394</v>
      </c>
      <c r="BR51" s="52">
        <v>1</v>
      </c>
      <c r="BS51" s="52">
        <f>395</f>
        <v>395</v>
      </c>
      <c r="BT51" s="52">
        <f t="shared" si="52"/>
        <v>395</v>
      </c>
      <c r="BU51" s="52">
        <f>1+1</f>
        <v>2</v>
      </c>
      <c r="BV51" s="52">
        <f>395+395</f>
        <v>790</v>
      </c>
      <c r="BW51" s="52">
        <f t="shared" si="53"/>
        <v>395</v>
      </c>
      <c r="BX51" s="52">
        <f>1.5</f>
        <v>1.5</v>
      </c>
      <c r="BY51" s="52">
        <f>395+197</f>
        <v>592</v>
      </c>
      <c r="BZ51" s="52">
        <f t="shared" si="54"/>
        <v>394.6666666666667</v>
      </c>
      <c r="CA51" s="52">
        <f>2+1+2</f>
        <v>5</v>
      </c>
      <c r="CB51" s="52">
        <f>2*395+395+2*395</f>
        <v>1975</v>
      </c>
      <c r="CC51" s="52">
        <f t="shared" si="55"/>
        <v>395</v>
      </c>
      <c r="CD51" s="33"/>
      <c r="CF51" s="59">
        <v>2</v>
      </c>
      <c r="CG51" s="59">
        <f>CF51*CH51</f>
        <v>760</v>
      </c>
      <c r="CH51" s="59">
        <v>380</v>
      </c>
      <c r="CP51" s="80">
        <f t="shared" si="27"/>
        <v>19703</v>
      </c>
      <c r="CR51" s="145">
        <v>17</v>
      </c>
      <c r="CS51" s="149" t="s">
        <v>313</v>
      </c>
      <c r="CT51" s="145">
        <v>434.70588235294116</v>
      </c>
      <c r="CU51" s="147">
        <v>7390</v>
      </c>
      <c r="CW51" s="43">
        <f>'[4]Skolēnu Pils'!CW51+'[4]Laimīte'!CW51+'[4]Daugmale'!CW51+'[4]Altona'!CW51+'[4]Šaha'!CW51+'[4]BSKR_Rīga'!CW51</f>
        <v>0</v>
      </c>
      <c r="CX51" s="4" t="s">
        <v>313</v>
      </c>
      <c r="CY51" s="43" t="e">
        <f t="shared" si="28"/>
        <v>#DIV/0!</v>
      </c>
      <c r="CZ51" s="139">
        <f>'[4]Skolēnu Pils'!CZ51+'[4]Laimīte'!CZ51+'[4]Daugmale'!CZ51+'[4]Altona'!CZ51+'[4]Šaha'!CZ51+'[4]BSKR_Rīga'!CZ51</f>
        <v>0</v>
      </c>
      <c r="DB51" s="152">
        <v>13.2</v>
      </c>
      <c r="DC51" s="149" t="s">
        <v>313</v>
      </c>
      <c r="DD51" s="145">
        <v>434.54545454545456</v>
      </c>
      <c r="DE51" s="152">
        <v>5736</v>
      </c>
      <c r="DG51" s="160">
        <v>13</v>
      </c>
      <c r="DH51" s="160" t="s">
        <v>313</v>
      </c>
      <c r="DI51" s="160">
        <v>439.7692307692308</v>
      </c>
      <c r="DJ51" s="160">
        <v>5717</v>
      </c>
      <c r="DL51" s="42"/>
      <c r="DM51" s="4" t="s">
        <v>313</v>
      </c>
      <c r="DN51" s="43" t="e">
        <f t="shared" si="29"/>
        <v>#DIV/0!</v>
      </c>
      <c r="DO51" s="52"/>
      <c r="DQ51" s="42">
        <v>2</v>
      </c>
      <c r="DR51" s="4" t="s">
        <v>313</v>
      </c>
      <c r="DS51" s="43">
        <f t="shared" si="30"/>
        <v>430</v>
      </c>
      <c r="DT51" s="52">
        <f>2*430</f>
        <v>860</v>
      </c>
    </row>
    <row r="52" spans="1:124" ht="33">
      <c r="A52" s="4" t="s">
        <v>49</v>
      </c>
      <c r="B52" s="4" t="s">
        <v>10</v>
      </c>
      <c r="C52" s="6" t="s">
        <v>52</v>
      </c>
      <c r="D52" s="43">
        <f t="shared" si="25"/>
        <v>4</v>
      </c>
      <c r="E52" s="2" t="s">
        <v>307</v>
      </c>
      <c r="F52" s="43">
        <f t="shared" si="26"/>
        <v>989</v>
      </c>
      <c r="G52" s="59">
        <f t="shared" si="31"/>
        <v>2861.45</v>
      </c>
      <c r="J52" s="52"/>
      <c r="K52" s="52"/>
      <c r="L52" s="77" t="e">
        <f t="shared" si="32"/>
        <v>#DIV/0!</v>
      </c>
      <c r="M52" s="52"/>
      <c r="N52" s="52"/>
      <c r="O52" s="52" t="e">
        <f t="shared" si="33"/>
        <v>#DIV/0!</v>
      </c>
      <c r="P52" s="52"/>
      <c r="Q52" s="52"/>
      <c r="R52" s="52" t="e">
        <f t="shared" si="34"/>
        <v>#DIV/0!</v>
      </c>
      <c r="S52" s="52"/>
      <c r="T52" s="52"/>
      <c r="U52" s="52" t="e">
        <f t="shared" si="35"/>
        <v>#DIV/0!</v>
      </c>
      <c r="V52" s="52"/>
      <c r="W52" s="52"/>
      <c r="X52" s="52" t="e">
        <f t="shared" si="36"/>
        <v>#DIV/0!</v>
      </c>
      <c r="Y52" s="52"/>
      <c r="Z52" s="52"/>
      <c r="AA52" s="52" t="e">
        <f t="shared" si="37"/>
        <v>#DIV/0!</v>
      </c>
      <c r="AB52" s="52"/>
      <c r="AC52" s="52"/>
      <c r="AD52" s="52" t="e">
        <f t="shared" si="38"/>
        <v>#DIV/0!</v>
      </c>
      <c r="AE52" s="52"/>
      <c r="AF52" s="52"/>
      <c r="AG52" s="52" t="e">
        <f t="shared" si="39"/>
        <v>#DIV/0!</v>
      </c>
      <c r="AH52" s="52"/>
      <c r="AI52" s="52"/>
      <c r="AJ52" s="52" t="e">
        <f t="shared" si="40"/>
        <v>#DIV/0!</v>
      </c>
      <c r="AK52" s="52"/>
      <c r="AL52" s="52"/>
      <c r="AM52" s="52" t="e">
        <f t="shared" si="41"/>
        <v>#DIV/0!</v>
      </c>
      <c r="AN52" s="52"/>
      <c r="AO52" s="52"/>
      <c r="AP52" s="52" t="e">
        <f t="shared" si="42"/>
        <v>#DIV/0!</v>
      </c>
      <c r="AQ52" s="52"/>
      <c r="AR52" s="52"/>
      <c r="AS52" s="52" t="e">
        <f t="shared" si="43"/>
        <v>#DIV/0!</v>
      </c>
      <c r="AT52" s="52"/>
      <c r="AU52" s="52"/>
      <c r="AV52" s="52" t="e">
        <f t="shared" si="44"/>
        <v>#DIV/0!</v>
      </c>
      <c r="AW52" s="52"/>
      <c r="AX52" s="52"/>
      <c r="AY52" s="52" t="e">
        <f t="shared" si="45"/>
        <v>#DIV/0!</v>
      </c>
      <c r="AZ52" s="52"/>
      <c r="BA52" s="52"/>
      <c r="BB52" s="52" t="e">
        <f t="shared" si="46"/>
        <v>#DIV/0!</v>
      </c>
      <c r="BC52" s="52">
        <f>1</f>
        <v>1</v>
      </c>
      <c r="BD52" s="52">
        <f>960</f>
        <v>960</v>
      </c>
      <c r="BE52" s="52">
        <f t="shared" si="47"/>
        <v>960</v>
      </c>
      <c r="BF52" s="52"/>
      <c r="BG52" s="52"/>
      <c r="BH52" s="52" t="e">
        <f t="shared" si="48"/>
        <v>#DIV/0!</v>
      </c>
      <c r="BI52" s="52"/>
      <c r="BJ52" s="52"/>
      <c r="BK52" s="52" t="e">
        <f t="shared" si="49"/>
        <v>#DIV/0!</v>
      </c>
      <c r="BL52" s="52"/>
      <c r="BM52" s="52"/>
      <c r="BN52" s="52" t="e">
        <f t="shared" si="50"/>
        <v>#DIV/0!</v>
      </c>
      <c r="BO52" s="52"/>
      <c r="BP52" s="52"/>
      <c r="BQ52" s="52" t="e">
        <f t="shared" si="51"/>
        <v>#DIV/0!</v>
      </c>
      <c r="BR52" s="52"/>
      <c r="BS52" s="52"/>
      <c r="BT52" s="52" t="e">
        <f t="shared" si="52"/>
        <v>#DIV/0!</v>
      </c>
      <c r="BU52" s="52"/>
      <c r="BV52" s="52"/>
      <c r="BW52" s="52" t="e">
        <f t="shared" si="53"/>
        <v>#DIV/0!</v>
      </c>
      <c r="BX52" s="52"/>
      <c r="BY52" s="52"/>
      <c r="BZ52" s="52" t="e">
        <f t="shared" si="54"/>
        <v>#DIV/0!</v>
      </c>
      <c r="CA52" s="52">
        <f>2</f>
        <v>2</v>
      </c>
      <c r="CB52" s="52">
        <f>978+923.45</f>
        <v>1901.45</v>
      </c>
      <c r="CC52" s="52">
        <f t="shared" si="55"/>
        <v>950.725</v>
      </c>
      <c r="CD52" s="33"/>
      <c r="CH52" s="59">
        <f>CF52*CG52</f>
        <v>0</v>
      </c>
      <c r="CP52" s="80">
        <f t="shared" si="27"/>
        <v>3956</v>
      </c>
      <c r="CR52" s="145">
        <v>3</v>
      </c>
      <c r="CS52" s="148" t="s">
        <v>307</v>
      </c>
      <c r="CT52" s="145">
        <v>982</v>
      </c>
      <c r="CU52" s="147">
        <v>2946</v>
      </c>
      <c r="CW52" s="43">
        <f>'[4]Skolēnu Pils'!CW52+'[4]Laimīte'!CW52+'[4]Daugmale'!CW52+'[4]Altona'!CW52+'[4]Šaha'!CW52+'[4]BSKR_Rīga'!CW52</f>
        <v>0</v>
      </c>
      <c r="CX52" s="2" t="s">
        <v>307</v>
      </c>
      <c r="CY52" s="43" t="e">
        <f t="shared" si="28"/>
        <v>#DIV/0!</v>
      </c>
      <c r="CZ52" s="139">
        <f>'[4]Skolēnu Pils'!CZ52+'[4]Laimīte'!CZ52+'[4]Daugmale'!CZ52+'[4]Altona'!CZ52+'[4]Šaha'!CZ52+'[4]BSKR_Rīga'!CZ52</f>
        <v>0</v>
      </c>
      <c r="DB52" s="152">
        <v>0</v>
      </c>
      <c r="DC52" s="148" t="s">
        <v>307</v>
      </c>
      <c r="DD52" s="145" t="e">
        <v>#DIV/0!</v>
      </c>
      <c r="DE52" s="152">
        <v>0</v>
      </c>
      <c r="DG52" s="160">
        <v>1</v>
      </c>
      <c r="DH52" s="160" t="s">
        <v>307</v>
      </c>
      <c r="DI52" s="160">
        <v>1010</v>
      </c>
      <c r="DJ52" s="160">
        <v>1010</v>
      </c>
      <c r="DL52" s="42"/>
      <c r="DM52" s="2" t="s">
        <v>307</v>
      </c>
      <c r="DN52" s="43" t="e">
        <f t="shared" si="29"/>
        <v>#DIV/0!</v>
      </c>
      <c r="DO52" s="52"/>
      <c r="DQ52" s="42"/>
      <c r="DR52" s="2" t="s">
        <v>307</v>
      </c>
      <c r="DS52" s="43" t="e">
        <f t="shared" si="30"/>
        <v>#DIV/0!</v>
      </c>
      <c r="DT52" s="52"/>
    </row>
    <row r="53" spans="1:124" ht="17.25">
      <c r="A53" s="3" t="s">
        <v>49</v>
      </c>
      <c r="B53" s="4" t="s">
        <v>5</v>
      </c>
      <c r="C53" s="11" t="s">
        <v>55</v>
      </c>
      <c r="D53" s="43">
        <f t="shared" si="25"/>
        <v>0.5</v>
      </c>
      <c r="E53" s="8" t="s">
        <v>314</v>
      </c>
      <c r="F53" s="43">
        <f t="shared" si="26"/>
        <v>460</v>
      </c>
      <c r="G53" s="59">
        <f t="shared" si="31"/>
        <v>778</v>
      </c>
      <c r="J53" s="52"/>
      <c r="K53" s="52"/>
      <c r="L53" s="77" t="e">
        <f t="shared" si="32"/>
        <v>#DIV/0!</v>
      </c>
      <c r="M53" s="52"/>
      <c r="N53" s="52"/>
      <c r="O53" s="52" t="e">
        <f t="shared" si="33"/>
        <v>#DIV/0!</v>
      </c>
      <c r="P53" s="52"/>
      <c r="Q53" s="52"/>
      <c r="R53" s="52" t="e">
        <f t="shared" si="34"/>
        <v>#DIV/0!</v>
      </c>
      <c r="S53" s="52"/>
      <c r="T53" s="52"/>
      <c r="U53" s="52" t="e">
        <f t="shared" si="35"/>
        <v>#DIV/0!</v>
      </c>
      <c r="V53" s="52"/>
      <c r="W53" s="52"/>
      <c r="X53" s="52" t="e">
        <f t="shared" si="36"/>
        <v>#DIV/0!</v>
      </c>
      <c r="Y53" s="52"/>
      <c r="Z53" s="52"/>
      <c r="AA53" s="52" t="e">
        <f t="shared" si="37"/>
        <v>#DIV/0!</v>
      </c>
      <c r="AB53" s="52"/>
      <c r="AC53" s="52"/>
      <c r="AD53" s="52" t="e">
        <f t="shared" si="38"/>
        <v>#DIV/0!</v>
      </c>
      <c r="AE53" s="52"/>
      <c r="AF53" s="52"/>
      <c r="AG53" s="52" t="e">
        <f t="shared" si="39"/>
        <v>#DIV/0!</v>
      </c>
      <c r="AH53" s="52"/>
      <c r="AI53" s="52"/>
      <c r="AJ53" s="52" t="e">
        <f t="shared" si="40"/>
        <v>#DIV/0!</v>
      </c>
      <c r="AK53" s="52"/>
      <c r="AL53" s="52"/>
      <c r="AM53" s="52" t="e">
        <f t="shared" si="41"/>
        <v>#DIV/0!</v>
      </c>
      <c r="AN53" s="52"/>
      <c r="AO53" s="52"/>
      <c r="AP53" s="52" t="e">
        <f t="shared" si="42"/>
        <v>#DIV/0!</v>
      </c>
      <c r="AQ53" s="52"/>
      <c r="AR53" s="52"/>
      <c r="AS53" s="52" t="e">
        <f t="shared" si="43"/>
        <v>#DIV/0!</v>
      </c>
      <c r="AT53" s="52"/>
      <c r="AU53" s="52"/>
      <c r="AV53" s="52" t="e">
        <f t="shared" si="44"/>
        <v>#DIV/0!</v>
      </c>
      <c r="AW53" s="52"/>
      <c r="AX53" s="52"/>
      <c r="AY53" s="52" t="e">
        <f t="shared" si="45"/>
        <v>#DIV/0!</v>
      </c>
      <c r="AZ53" s="52"/>
      <c r="BA53" s="52"/>
      <c r="BB53" s="52" t="e">
        <f t="shared" si="46"/>
        <v>#DIV/0!</v>
      </c>
      <c r="BC53" s="52"/>
      <c r="BD53" s="52"/>
      <c r="BE53" s="52" t="e">
        <f t="shared" si="47"/>
        <v>#DIV/0!</v>
      </c>
      <c r="BF53" s="52"/>
      <c r="BG53" s="52"/>
      <c r="BH53" s="52" t="e">
        <f t="shared" si="48"/>
        <v>#DIV/0!</v>
      </c>
      <c r="BI53" s="52"/>
      <c r="BJ53" s="52"/>
      <c r="BK53" s="52" t="e">
        <f t="shared" si="49"/>
        <v>#DIV/0!</v>
      </c>
      <c r="BL53" s="52"/>
      <c r="BM53" s="52"/>
      <c r="BN53" s="52" t="e">
        <f t="shared" si="50"/>
        <v>#DIV/0!</v>
      </c>
      <c r="BO53" s="52">
        <f>0.5</f>
        <v>0.5</v>
      </c>
      <c r="BP53" s="52">
        <f>230</f>
        <v>230</v>
      </c>
      <c r="BQ53" s="52">
        <f t="shared" si="51"/>
        <v>460</v>
      </c>
      <c r="BR53" s="52"/>
      <c r="BS53" s="52"/>
      <c r="BT53" s="52" t="e">
        <f t="shared" si="52"/>
        <v>#DIV/0!</v>
      </c>
      <c r="BU53" s="52"/>
      <c r="BV53" s="52"/>
      <c r="BW53" s="52" t="e">
        <f t="shared" si="53"/>
        <v>#DIV/0!</v>
      </c>
      <c r="BX53" s="52"/>
      <c r="BY53" s="52"/>
      <c r="BZ53" s="52" t="e">
        <f t="shared" si="54"/>
        <v>#DIV/0!</v>
      </c>
      <c r="CA53" s="52">
        <v>1</v>
      </c>
      <c r="CB53" s="52">
        <f>548</f>
        <v>548</v>
      </c>
      <c r="CC53" s="52">
        <f t="shared" si="55"/>
        <v>548</v>
      </c>
      <c r="CD53" s="33"/>
      <c r="CH53" s="59">
        <f>CF53*CG53</f>
        <v>0</v>
      </c>
      <c r="CP53" s="80">
        <f t="shared" si="27"/>
        <v>230</v>
      </c>
      <c r="CR53" s="145">
        <v>0</v>
      </c>
      <c r="CS53" s="146" t="s">
        <v>314</v>
      </c>
      <c r="CT53" s="145" t="e">
        <v>#DIV/0!</v>
      </c>
      <c r="CU53" s="147">
        <v>0</v>
      </c>
      <c r="CW53" s="43">
        <f>'[4]Skolēnu Pils'!CW53+'[4]Laimīte'!CW53+'[4]Daugmale'!CW53+'[4]Altona'!CW53+'[4]Šaha'!CW53+'[4]BSKR_Rīga'!CW53</f>
        <v>0</v>
      </c>
      <c r="CX53" s="8" t="s">
        <v>314</v>
      </c>
      <c r="CY53" s="43" t="e">
        <f t="shared" si="28"/>
        <v>#DIV/0!</v>
      </c>
      <c r="CZ53" s="139">
        <f>'[4]Skolēnu Pils'!CZ53+'[4]Laimīte'!CZ53+'[4]Daugmale'!CZ53+'[4]Altona'!CZ53+'[4]Šaha'!CZ53+'[4]BSKR_Rīga'!CZ53</f>
        <v>0</v>
      </c>
      <c r="DB53" s="152">
        <v>0</v>
      </c>
      <c r="DC53" s="146" t="s">
        <v>314</v>
      </c>
      <c r="DD53" s="145" t="e">
        <v>#DIV/0!</v>
      </c>
      <c r="DE53" s="152">
        <v>0</v>
      </c>
      <c r="DG53" s="160">
        <v>0.5</v>
      </c>
      <c r="DH53" s="160" t="s">
        <v>314</v>
      </c>
      <c r="DI53" s="160">
        <v>460</v>
      </c>
      <c r="DJ53" s="160">
        <v>230</v>
      </c>
      <c r="DL53" s="42"/>
      <c r="DM53" s="8" t="s">
        <v>314</v>
      </c>
      <c r="DN53" s="43" t="e">
        <f t="shared" si="29"/>
        <v>#DIV/0!</v>
      </c>
      <c r="DO53" s="52"/>
      <c r="DQ53" s="42"/>
      <c r="DR53" s="8" t="s">
        <v>314</v>
      </c>
      <c r="DS53" s="43" t="e">
        <f t="shared" si="30"/>
        <v>#DIV/0!</v>
      </c>
      <c r="DT53" s="52"/>
    </row>
    <row r="54" spans="1:124" ht="17.25">
      <c r="A54" s="3" t="s">
        <v>49</v>
      </c>
      <c r="B54" s="4" t="s">
        <v>5</v>
      </c>
      <c r="C54" s="6" t="s">
        <v>129</v>
      </c>
      <c r="D54" s="43">
        <f t="shared" si="25"/>
        <v>5</v>
      </c>
      <c r="E54" s="8" t="s">
        <v>314</v>
      </c>
      <c r="F54" s="43">
        <f t="shared" si="26"/>
        <v>539.2</v>
      </c>
      <c r="G54" s="59">
        <f aca="true" t="shared" si="57" ref="G54:G71">K54+N54+Q54+T54+W54+Z54+AC54+AF54+AI54+AL54+AO54+AR54+AU54+AX54+BA54+BD54+BG54+BJ54+BM54+BP54+BS54+BV54+BY54+CB54+CG54</f>
        <v>2244</v>
      </c>
      <c r="J54" s="52">
        <f>1</f>
        <v>1</v>
      </c>
      <c r="K54" s="52">
        <f>548</f>
        <v>548</v>
      </c>
      <c r="L54" s="77">
        <f aca="true" t="shared" si="58" ref="L54:L71">K54/J54</f>
        <v>548</v>
      </c>
      <c r="M54" s="52"/>
      <c r="N54" s="52"/>
      <c r="O54" s="52" t="e">
        <f aca="true" t="shared" si="59" ref="O54:O71">N54/M54</f>
        <v>#DIV/0!</v>
      </c>
      <c r="P54" s="52">
        <f>0.5</f>
        <v>0.5</v>
      </c>
      <c r="Q54" s="52">
        <f>200</f>
        <v>200</v>
      </c>
      <c r="R54" s="52">
        <f aca="true" t="shared" si="60" ref="R54:R71">Q54/P54</f>
        <v>400</v>
      </c>
      <c r="S54" s="52"/>
      <c r="T54" s="52"/>
      <c r="U54" s="52" t="e">
        <f aca="true" t="shared" si="61" ref="U54:U71">T54/S54</f>
        <v>#DIV/0!</v>
      </c>
      <c r="V54" s="52"/>
      <c r="W54" s="52"/>
      <c r="X54" s="52" t="e">
        <f aca="true" t="shared" si="62" ref="X54:X71">W54/V54</f>
        <v>#DIV/0!</v>
      </c>
      <c r="Y54" s="52"/>
      <c r="Z54" s="52"/>
      <c r="AA54" s="52" t="e">
        <f aca="true" t="shared" si="63" ref="AA54:AA71">Z54/Y54</f>
        <v>#DIV/0!</v>
      </c>
      <c r="AB54" s="52"/>
      <c r="AC54" s="52"/>
      <c r="AD54" s="52" t="e">
        <f aca="true" t="shared" si="64" ref="AD54:AD71">AC54/AB54</f>
        <v>#DIV/0!</v>
      </c>
      <c r="AE54" s="52">
        <f>1</f>
        <v>1</v>
      </c>
      <c r="AF54" s="52">
        <f>400</f>
        <v>400</v>
      </c>
      <c r="AG54" s="52">
        <f aca="true" t="shared" si="65" ref="AG54:AG71">AF54/AE54</f>
        <v>400</v>
      </c>
      <c r="AH54" s="52"/>
      <c r="AI54" s="52"/>
      <c r="AJ54" s="52" t="e">
        <f aca="true" t="shared" si="66" ref="AJ54:AJ71">AI54/AH54</f>
        <v>#DIV/0!</v>
      </c>
      <c r="AK54" s="52"/>
      <c r="AL54" s="52"/>
      <c r="AM54" s="52" t="e">
        <f aca="true" t="shared" si="67" ref="AM54:AM71">AL54/AK54</f>
        <v>#DIV/0!</v>
      </c>
      <c r="AN54" s="52"/>
      <c r="AO54" s="52"/>
      <c r="AP54" s="52" t="e">
        <f aca="true" t="shared" si="68" ref="AP54:AP71">AO54/AN54</f>
        <v>#DIV/0!</v>
      </c>
      <c r="AQ54" s="52"/>
      <c r="AR54" s="52"/>
      <c r="AS54" s="52" t="e">
        <f aca="true" t="shared" si="69" ref="AS54:AS71">AR54/AQ54</f>
        <v>#DIV/0!</v>
      </c>
      <c r="AT54" s="52"/>
      <c r="AU54" s="52"/>
      <c r="AV54" s="52" t="e">
        <f aca="true" t="shared" si="70" ref="AV54:AV71">AU54/AT54</f>
        <v>#DIV/0!</v>
      </c>
      <c r="AW54" s="52"/>
      <c r="AX54" s="52"/>
      <c r="AY54" s="52" t="e">
        <f aca="true" t="shared" si="71" ref="AY54:AY71">AX54/AW54</f>
        <v>#DIV/0!</v>
      </c>
      <c r="AZ54" s="52"/>
      <c r="BA54" s="52"/>
      <c r="BB54" s="52" t="e">
        <f aca="true" t="shared" si="72" ref="BB54:BB71">BA54/AZ54</f>
        <v>#DIV/0!</v>
      </c>
      <c r="BC54" s="52"/>
      <c r="BD54" s="52"/>
      <c r="BE54" s="52" t="e">
        <f aca="true" t="shared" si="73" ref="BE54:BE71">BD54/BC54</f>
        <v>#DIV/0!</v>
      </c>
      <c r="BF54" s="52"/>
      <c r="BG54" s="52"/>
      <c r="BH54" s="52" t="e">
        <f aca="true" t="shared" si="74" ref="BH54:BH71">BG54/BF54</f>
        <v>#DIV/0!</v>
      </c>
      <c r="BI54" s="52">
        <f>1</f>
        <v>1</v>
      </c>
      <c r="BJ54" s="52">
        <f>548</f>
        <v>548</v>
      </c>
      <c r="BK54" s="52">
        <f aca="true" t="shared" si="75" ref="BK54:BK71">BJ54/BI54</f>
        <v>548</v>
      </c>
      <c r="BL54" s="52"/>
      <c r="BM54" s="52"/>
      <c r="BN54" s="52" t="e">
        <f aca="true" t="shared" si="76" ref="BN54:BN71">BM54/BL54</f>
        <v>#DIV/0!</v>
      </c>
      <c r="BO54" s="52"/>
      <c r="BP54" s="52"/>
      <c r="BQ54" s="52" t="e">
        <f aca="true" t="shared" si="77" ref="BQ54:BQ71">BP54/BO54</f>
        <v>#DIV/0!</v>
      </c>
      <c r="BR54" s="52"/>
      <c r="BS54" s="52"/>
      <c r="BT54" s="52" t="e">
        <f aca="true" t="shared" si="78" ref="BT54:BT71">BS54/BR54</f>
        <v>#DIV/0!</v>
      </c>
      <c r="BU54" s="52"/>
      <c r="BV54" s="52"/>
      <c r="BW54" s="52" t="e">
        <f aca="true" t="shared" si="79" ref="BW54:BW71">BV54/BU54</f>
        <v>#DIV/0!</v>
      </c>
      <c r="BX54" s="52">
        <v>1</v>
      </c>
      <c r="BY54" s="52">
        <v>548</v>
      </c>
      <c r="BZ54" s="52">
        <f aca="true" t="shared" si="80" ref="BZ54:BZ71">BY54/BX54</f>
        <v>548</v>
      </c>
      <c r="CA54" s="52"/>
      <c r="CB54" s="52"/>
      <c r="CC54" s="52" t="e">
        <f aca="true" t="shared" si="81" ref="CC54:CC71">CB54/CA54</f>
        <v>#DIV/0!</v>
      </c>
      <c r="CD54" s="33"/>
      <c r="CH54" s="59">
        <f>CF54*CG54</f>
        <v>0</v>
      </c>
      <c r="CP54" s="80">
        <f t="shared" si="27"/>
        <v>2696</v>
      </c>
      <c r="CR54" s="145">
        <v>1</v>
      </c>
      <c r="CS54" s="146" t="s">
        <v>314</v>
      </c>
      <c r="CT54" s="145">
        <v>520</v>
      </c>
      <c r="CU54" s="147">
        <v>520</v>
      </c>
      <c r="CW54" s="43">
        <f>'[4]Skolēnu Pils'!CW54+'[4]Laimīte'!CW54+'[4]Daugmale'!CW54+'[4]Altona'!CW54+'[4]Šaha'!CW54+'[4]BSKR_Rīga'!CW54</f>
        <v>0</v>
      </c>
      <c r="CX54" s="8" t="s">
        <v>314</v>
      </c>
      <c r="CY54" s="43" t="e">
        <f t="shared" si="28"/>
        <v>#DIV/0!</v>
      </c>
      <c r="CZ54" s="139">
        <f>'[4]Skolēnu Pils'!CZ54+'[4]Laimīte'!CZ54+'[4]Daugmale'!CZ54+'[4]Altona'!CZ54+'[4]Šaha'!CZ54+'[4]BSKR_Rīga'!CZ54</f>
        <v>0</v>
      </c>
      <c r="DB54" s="152">
        <f>1+1</f>
        <v>2</v>
      </c>
      <c r="DC54" s="146" t="s">
        <v>314</v>
      </c>
      <c r="DD54" s="145">
        <v>450</v>
      </c>
      <c r="DE54" s="152">
        <f>450+589</f>
        <v>1039</v>
      </c>
      <c r="DG54" s="160">
        <v>1</v>
      </c>
      <c r="DH54" s="160" t="s">
        <v>314</v>
      </c>
      <c r="DI54" s="160">
        <v>548</v>
      </c>
      <c r="DJ54" s="160">
        <v>548</v>
      </c>
      <c r="DL54" s="42">
        <v>1</v>
      </c>
      <c r="DM54" s="8" t="s">
        <v>314</v>
      </c>
      <c r="DN54" s="43">
        <f t="shared" si="29"/>
        <v>589</v>
      </c>
      <c r="DO54" s="52">
        <v>589</v>
      </c>
      <c r="DQ54" s="42"/>
      <c r="DR54" s="8" t="s">
        <v>314</v>
      </c>
      <c r="DS54" s="43" t="e">
        <f t="shared" si="30"/>
        <v>#DIV/0!</v>
      </c>
      <c r="DT54" s="52"/>
    </row>
    <row r="55" spans="1:124" ht="33">
      <c r="A55" s="3" t="s">
        <v>50</v>
      </c>
      <c r="B55" s="4" t="s">
        <v>10</v>
      </c>
      <c r="C55" s="6" t="s">
        <v>60</v>
      </c>
      <c r="D55" s="43">
        <f t="shared" si="25"/>
        <v>21.75</v>
      </c>
      <c r="E55" s="4" t="s">
        <v>309</v>
      </c>
      <c r="F55" s="43">
        <f t="shared" si="26"/>
        <v>770.9425287356322</v>
      </c>
      <c r="G55" s="59">
        <f t="shared" si="57"/>
        <v>14771</v>
      </c>
      <c r="J55" s="52">
        <f>1</f>
        <v>1</v>
      </c>
      <c r="K55" s="52">
        <f>704</f>
        <v>704</v>
      </c>
      <c r="L55" s="77">
        <f t="shared" si="58"/>
        <v>704</v>
      </c>
      <c r="M55" s="52"/>
      <c r="N55" s="52"/>
      <c r="O55" s="52" t="e">
        <f t="shared" si="59"/>
        <v>#DIV/0!</v>
      </c>
      <c r="P55" s="52">
        <f>1</f>
        <v>1</v>
      </c>
      <c r="Q55" s="52">
        <f>790</f>
        <v>790</v>
      </c>
      <c r="R55" s="52">
        <f t="shared" si="60"/>
        <v>790</v>
      </c>
      <c r="S55" s="52">
        <f>1</f>
        <v>1</v>
      </c>
      <c r="T55" s="52">
        <f>641.6+160.4</f>
        <v>802</v>
      </c>
      <c r="U55" s="52">
        <f t="shared" si="61"/>
        <v>802</v>
      </c>
      <c r="V55" s="52"/>
      <c r="W55" s="52"/>
      <c r="X55" s="52" t="e">
        <f t="shared" si="62"/>
        <v>#DIV/0!</v>
      </c>
      <c r="Y55" s="52">
        <f>1</f>
        <v>1</v>
      </c>
      <c r="Z55" s="52">
        <f>733</f>
        <v>733</v>
      </c>
      <c r="AA55" s="52">
        <f t="shared" si="63"/>
        <v>733</v>
      </c>
      <c r="AB55" s="52">
        <f>1</f>
        <v>1</v>
      </c>
      <c r="AC55" s="52">
        <f>683</f>
        <v>683</v>
      </c>
      <c r="AD55" s="52">
        <f t="shared" si="64"/>
        <v>683</v>
      </c>
      <c r="AE55" s="52">
        <f>1</f>
        <v>1</v>
      </c>
      <c r="AF55" s="52">
        <f>530</f>
        <v>530</v>
      </c>
      <c r="AG55" s="52">
        <f t="shared" si="65"/>
        <v>530</v>
      </c>
      <c r="AH55" s="52">
        <f>1</f>
        <v>1</v>
      </c>
      <c r="AI55" s="52">
        <f>720</f>
        <v>720</v>
      </c>
      <c r="AJ55" s="52">
        <f t="shared" si="66"/>
        <v>720</v>
      </c>
      <c r="AK55" s="52">
        <f>1</f>
        <v>1</v>
      </c>
      <c r="AL55" s="52">
        <f>506</f>
        <v>506</v>
      </c>
      <c r="AM55" s="52">
        <f t="shared" si="67"/>
        <v>506</v>
      </c>
      <c r="AN55" s="52"/>
      <c r="AO55" s="52"/>
      <c r="AP55" s="52" t="e">
        <f t="shared" si="68"/>
        <v>#DIV/0!</v>
      </c>
      <c r="AQ55" s="52">
        <f>1</f>
        <v>1</v>
      </c>
      <c r="AR55" s="52">
        <f>611</f>
        <v>611</v>
      </c>
      <c r="AS55" s="52">
        <f t="shared" si="69"/>
        <v>611</v>
      </c>
      <c r="AT55" s="52"/>
      <c r="AU55" s="52"/>
      <c r="AV55" s="52" t="e">
        <f t="shared" si="70"/>
        <v>#DIV/0!</v>
      </c>
      <c r="AW55" s="52">
        <f>1</f>
        <v>1</v>
      </c>
      <c r="AX55" s="52">
        <f>700</f>
        <v>700</v>
      </c>
      <c r="AY55" s="52">
        <f t="shared" si="71"/>
        <v>700</v>
      </c>
      <c r="AZ55" s="52">
        <f>0.75</f>
        <v>0.75</v>
      </c>
      <c r="BA55" s="52">
        <f>501</f>
        <v>501</v>
      </c>
      <c r="BB55" s="52">
        <f t="shared" si="72"/>
        <v>668</v>
      </c>
      <c r="BC55" s="52">
        <f>1</f>
        <v>1</v>
      </c>
      <c r="BD55" s="52">
        <f>726</f>
        <v>726</v>
      </c>
      <c r="BE55" s="52">
        <f t="shared" si="73"/>
        <v>726</v>
      </c>
      <c r="BF55" s="52">
        <f>1</f>
        <v>1</v>
      </c>
      <c r="BG55" s="52">
        <f>788</f>
        <v>788</v>
      </c>
      <c r="BH55" s="52">
        <f t="shared" si="74"/>
        <v>788</v>
      </c>
      <c r="BI55" s="52">
        <f>1</f>
        <v>1</v>
      </c>
      <c r="BJ55" s="52">
        <f>660</f>
        <v>660</v>
      </c>
      <c r="BK55" s="52">
        <f t="shared" si="75"/>
        <v>660</v>
      </c>
      <c r="BL55" s="52">
        <f>1</f>
        <v>1</v>
      </c>
      <c r="BM55" s="52">
        <f>660</f>
        <v>660</v>
      </c>
      <c r="BN55" s="52">
        <f t="shared" si="76"/>
        <v>660</v>
      </c>
      <c r="BO55" s="52">
        <f>1</f>
        <v>1</v>
      </c>
      <c r="BP55" s="52">
        <f>760</f>
        <v>760</v>
      </c>
      <c r="BQ55" s="52">
        <f t="shared" si="77"/>
        <v>760</v>
      </c>
      <c r="BR55" s="52">
        <f>1</f>
        <v>1</v>
      </c>
      <c r="BS55" s="52">
        <f>793</f>
        <v>793</v>
      </c>
      <c r="BT55" s="52">
        <f t="shared" si="78"/>
        <v>793</v>
      </c>
      <c r="BU55" s="52">
        <f>1</f>
        <v>1</v>
      </c>
      <c r="BV55" s="52">
        <f>720</f>
        <v>720</v>
      </c>
      <c r="BW55" s="52">
        <f t="shared" si="79"/>
        <v>720</v>
      </c>
      <c r="BX55" s="52">
        <f>1</f>
        <v>1</v>
      </c>
      <c r="BY55" s="52">
        <f>781</f>
        <v>781</v>
      </c>
      <c r="BZ55" s="52">
        <f t="shared" si="80"/>
        <v>781</v>
      </c>
      <c r="CA55" s="52">
        <v>1</v>
      </c>
      <c r="CB55" s="52">
        <f>803</f>
        <v>803</v>
      </c>
      <c r="CC55" s="52">
        <f t="shared" si="81"/>
        <v>803</v>
      </c>
      <c r="CD55" s="33"/>
      <c r="CF55" s="59">
        <v>1</v>
      </c>
      <c r="CG55" s="59">
        <f>CF55*CH55</f>
        <v>800</v>
      </c>
      <c r="CH55" s="59">
        <v>800</v>
      </c>
      <c r="CP55" s="80">
        <f t="shared" si="27"/>
        <v>16768</v>
      </c>
      <c r="CR55" s="145">
        <v>6</v>
      </c>
      <c r="CS55" s="149" t="s">
        <v>309</v>
      </c>
      <c r="CT55" s="145">
        <v>779.1666666666666</v>
      </c>
      <c r="CU55" s="147">
        <v>4675</v>
      </c>
      <c r="CW55" s="43">
        <f>'[4]Skolēnu Pils'!CW55+'[4]Laimīte'!CW55+'[4]Daugmale'!CW55+'[4]Altona'!CW55+'[4]Šaha'!CW55+'[4]BSKR_Rīga'!CW55</f>
        <v>0</v>
      </c>
      <c r="CX55" s="4" t="s">
        <v>309</v>
      </c>
      <c r="CY55" s="43" t="e">
        <f t="shared" si="28"/>
        <v>#DIV/0!</v>
      </c>
      <c r="CZ55" s="139">
        <f>'[4]Skolēnu Pils'!CZ55+'[4]Laimīte'!CZ55+'[4]Daugmale'!CZ55+'[4]Altona'!CZ55+'[4]Šaha'!CZ55+'[4]BSKR_Rīga'!CZ55</f>
        <v>0</v>
      </c>
      <c r="DB55" s="152">
        <v>7.75</v>
      </c>
      <c r="DC55" s="149" t="s">
        <v>309</v>
      </c>
      <c r="DD55" s="145">
        <v>728.3870967741935</v>
      </c>
      <c r="DE55" s="152">
        <v>5645</v>
      </c>
      <c r="DG55" s="160">
        <v>7</v>
      </c>
      <c r="DH55" s="160" t="s">
        <v>309</v>
      </c>
      <c r="DI55" s="160">
        <v>804</v>
      </c>
      <c r="DJ55" s="160">
        <v>5628</v>
      </c>
      <c r="DL55" s="42"/>
      <c r="DM55" s="4" t="s">
        <v>309</v>
      </c>
      <c r="DN55" s="43" t="e">
        <f t="shared" si="29"/>
        <v>#DIV/0!</v>
      </c>
      <c r="DO55" s="52"/>
      <c r="DQ55" s="42">
        <v>1</v>
      </c>
      <c r="DR55" s="4" t="s">
        <v>309</v>
      </c>
      <c r="DS55" s="43">
        <f t="shared" si="30"/>
        <v>820</v>
      </c>
      <c r="DT55" s="52">
        <v>820</v>
      </c>
    </row>
    <row r="56" spans="1:124" ht="33">
      <c r="A56" s="3" t="s">
        <v>50</v>
      </c>
      <c r="B56" s="4" t="s">
        <v>10</v>
      </c>
      <c r="C56" s="6" t="s">
        <v>80</v>
      </c>
      <c r="D56" s="43">
        <f t="shared" si="25"/>
        <v>6</v>
      </c>
      <c r="E56" s="2" t="s">
        <v>315</v>
      </c>
      <c r="F56" s="43">
        <f t="shared" si="26"/>
        <v>608.6666666666666</v>
      </c>
      <c r="G56" s="59">
        <f t="shared" si="57"/>
        <v>2962.5</v>
      </c>
      <c r="J56" s="52"/>
      <c r="K56" s="52"/>
      <c r="L56" s="77" t="e">
        <f t="shared" si="58"/>
        <v>#DIV/0!</v>
      </c>
      <c r="M56" s="52">
        <f>1</f>
        <v>1</v>
      </c>
      <c r="N56" s="52">
        <f>505</f>
        <v>505</v>
      </c>
      <c r="O56" s="52">
        <f t="shared" si="59"/>
        <v>505</v>
      </c>
      <c r="P56" s="52"/>
      <c r="Q56" s="52"/>
      <c r="R56" s="52" t="e">
        <f t="shared" si="60"/>
        <v>#DIV/0!</v>
      </c>
      <c r="S56" s="52"/>
      <c r="T56" s="52"/>
      <c r="U56" s="52" t="e">
        <f t="shared" si="61"/>
        <v>#DIV/0!</v>
      </c>
      <c r="V56" s="52">
        <f>1</f>
        <v>1</v>
      </c>
      <c r="W56" s="52">
        <f>506</f>
        <v>506</v>
      </c>
      <c r="X56" s="52">
        <f t="shared" si="62"/>
        <v>506</v>
      </c>
      <c r="Y56" s="52"/>
      <c r="Z56" s="52"/>
      <c r="AA56" s="52" t="e">
        <f t="shared" si="63"/>
        <v>#DIV/0!</v>
      </c>
      <c r="AB56" s="52"/>
      <c r="AC56" s="52"/>
      <c r="AD56" s="52" t="e">
        <f t="shared" si="64"/>
        <v>#DIV/0!</v>
      </c>
      <c r="AE56" s="52"/>
      <c r="AF56" s="52"/>
      <c r="AG56" s="52" t="e">
        <f t="shared" si="65"/>
        <v>#DIV/0!</v>
      </c>
      <c r="AH56" s="52"/>
      <c r="AI56" s="52"/>
      <c r="AJ56" s="52" t="e">
        <f t="shared" si="66"/>
        <v>#DIV/0!</v>
      </c>
      <c r="AK56" s="52"/>
      <c r="AL56" s="52"/>
      <c r="AM56" s="52" t="e">
        <f t="shared" si="67"/>
        <v>#DIV/0!</v>
      </c>
      <c r="AN56" s="52">
        <f>1</f>
        <v>1</v>
      </c>
      <c r="AO56" s="52">
        <f>440</f>
        <v>440</v>
      </c>
      <c r="AP56" s="52">
        <f t="shared" si="68"/>
        <v>440</v>
      </c>
      <c r="AQ56" s="52"/>
      <c r="AR56" s="52"/>
      <c r="AS56" s="52" t="e">
        <f t="shared" si="69"/>
        <v>#DIV/0!</v>
      </c>
      <c r="AT56" s="52">
        <f>1</f>
        <v>1</v>
      </c>
      <c r="AU56" s="52">
        <f>400</f>
        <v>400</v>
      </c>
      <c r="AV56" s="52">
        <f t="shared" si="70"/>
        <v>400</v>
      </c>
      <c r="AW56" s="52"/>
      <c r="AX56" s="52"/>
      <c r="AY56" s="52" t="e">
        <f t="shared" si="71"/>
        <v>#DIV/0!</v>
      </c>
      <c r="AZ56" s="52"/>
      <c r="BA56" s="52"/>
      <c r="BB56" s="52" t="e">
        <f t="shared" si="72"/>
        <v>#DIV/0!</v>
      </c>
      <c r="BC56" s="52"/>
      <c r="BD56" s="52"/>
      <c r="BE56" s="52" t="e">
        <f t="shared" si="73"/>
        <v>#DIV/0!</v>
      </c>
      <c r="BF56" s="52"/>
      <c r="BG56" s="52"/>
      <c r="BH56" s="52" t="e">
        <f t="shared" si="74"/>
        <v>#DIV/0!</v>
      </c>
      <c r="BI56" s="52"/>
      <c r="BJ56" s="52"/>
      <c r="BK56" s="52" t="e">
        <f t="shared" si="75"/>
        <v>#DIV/0!</v>
      </c>
      <c r="BL56" s="52"/>
      <c r="BM56" s="52"/>
      <c r="BN56" s="52" t="e">
        <f t="shared" si="76"/>
        <v>#DIV/0!</v>
      </c>
      <c r="BO56" s="52"/>
      <c r="BP56" s="52"/>
      <c r="BQ56" s="52" t="e">
        <f t="shared" si="77"/>
        <v>#DIV/0!</v>
      </c>
      <c r="BR56" s="52"/>
      <c r="BS56" s="52"/>
      <c r="BT56" s="52" t="e">
        <f t="shared" si="78"/>
        <v>#DIV/0!</v>
      </c>
      <c r="BU56" s="52"/>
      <c r="BV56" s="52"/>
      <c r="BW56" s="52" t="e">
        <f t="shared" si="79"/>
        <v>#DIV/0!</v>
      </c>
      <c r="BX56" s="52"/>
      <c r="BY56" s="52"/>
      <c r="BZ56" s="52" t="e">
        <f t="shared" si="80"/>
        <v>#DIV/0!</v>
      </c>
      <c r="CA56" s="52">
        <f>1</f>
        <v>1</v>
      </c>
      <c r="CB56" s="52">
        <f>511.5</f>
        <v>511.5</v>
      </c>
      <c r="CC56" s="52">
        <f t="shared" si="81"/>
        <v>511.5</v>
      </c>
      <c r="CD56" s="33"/>
      <c r="CF56" s="59">
        <v>1</v>
      </c>
      <c r="CG56" s="59">
        <f>CF56*CH56</f>
        <v>600</v>
      </c>
      <c r="CH56" s="59">
        <v>600</v>
      </c>
      <c r="CP56" s="80">
        <f t="shared" si="27"/>
        <v>3652</v>
      </c>
      <c r="CR56" s="145">
        <v>1</v>
      </c>
      <c r="CS56" s="148" t="s">
        <v>315</v>
      </c>
      <c r="CT56" s="145">
        <v>550</v>
      </c>
      <c r="CU56" s="147">
        <v>550</v>
      </c>
      <c r="CW56" s="43">
        <f>'[4]Skolēnu Pils'!CW56+'[4]Laimīte'!CW56+'[4]Daugmale'!CW56+'[4]Altona'!CW56+'[4]Šaha'!CW56+'[4]BSKR_Rīga'!CW56</f>
        <v>0</v>
      </c>
      <c r="CX56" s="2" t="s">
        <v>315</v>
      </c>
      <c r="CY56" s="43" t="e">
        <f t="shared" si="28"/>
        <v>#DIV/0!</v>
      </c>
      <c r="CZ56" s="139">
        <f>'[4]Skolēnu Pils'!CZ56+'[4]Laimīte'!CZ56+'[4]Daugmale'!CZ56+'[4]Altona'!CZ56+'[4]Šaha'!CZ56+'[4]BSKR_Rīga'!CZ56</f>
        <v>0</v>
      </c>
      <c r="DB56" s="152">
        <v>4</v>
      </c>
      <c r="DC56" s="148" t="s">
        <v>315</v>
      </c>
      <c r="DD56" s="145">
        <v>613</v>
      </c>
      <c r="DE56" s="152">
        <v>2452</v>
      </c>
      <c r="DG56" s="160">
        <v>0</v>
      </c>
      <c r="DH56" s="160" t="s">
        <v>315</v>
      </c>
      <c r="DI56" s="160" t="e">
        <v>#DIV/0!</v>
      </c>
      <c r="DJ56" s="160">
        <v>0</v>
      </c>
      <c r="DL56" s="42"/>
      <c r="DM56" s="2" t="s">
        <v>315</v>
      </c>
      <c r="DN56" s="43" t="e">
        <f t="shared" si="29"/>
        <v>#DIV/0!</v>
      </c>
      <c r="DO56" s="52"/>
      <c r="DQ56" s="42">
        <v>1</v>
      </c>
      <c r="DR56" s="2" t="s">
        <v>315</v>
      </c>
      <c r="DS56" s="43">
        <f t="shared" si="30"/>
        <v>650</v>
      </c>
      <c r="DT56" s="52">
        <v>650</v>
      </c>
    </row>
    <row r="57" spans="1:124" ht="33">
      <c r="A57" s="3" t="s">
        <v>124</v>
      </c>
      <c r="B57" s="4" t="s">
        <v>10</v>
      </c>
      <c r="C57" s="6" t="s">
        <v>126</v>
      </c>
      <c r="D57" s="43">
        <f t="shared" si="25"/>
        <v>0</v>
      </c>
      <c r="E57" s="2" t="s">
        <v>315</v>
      </c>
      <c r="F57" s="43">
        <v>0</v>
      </c>
      <c r="G57" s="59">
        <f t="shared" si="57"/>
        <v>506</v>
      </c>
      <c r="J57" s="52"/>
      <c r="K57" s="52"/>
      <c r="L57" s="77" t="e">
        <f t="shared" si="58"/>
        <v>#DIV/0!</v>
      </c>
      <c r="M57" s="52"/>
      <c r="N57" s="52"/>
      <c r="O57" s="52" t="e">
        <f t="shared" si="59"/>
        <v>#DIV/0!</v>
      </c>
      <c r="P57" s="52"/>
      <c r="Q57" s="52"/>
      <c r="R57" s="52" t="e">
        <f t="shared" si="60"/>
        <v>#DIV/0!</v>
      </c>
      <c r="S57" s="52"/>
      <c r="T57" s="52"/>
      <c r="U57" s="52" t="e">
        <f t="shared" si="61"/>
        <v>#DIV/0!</v>
      </c>
      <c r="V57" s="52">
        <f>1</f>
        <v>1</v>
      </c>
      <c r="W57" s="52">
        <f>506</f>
        <v>506</v>
      </c>
      <c r="X57" s="52">
        <f t="shared" si="62"/>
        <v>506</v>
      </c>
      <c r="Y57" s="52"/>
      <c r="Z57" s="52"/>
      <c r="AA57" s="52" t="e">
        <f t="shared" si="63"/>
        <v>#DIV/0!</v>
      </c>
      <c r="AB57" s="52"/>
      <c r="AC57" s="52"/>
      <c r="AD57" s="52" t="e">
        <f t="shared" si="64"/>
        <v>#DIV/0!</v>
      </c>
      <c r="AE57" s="52"/>
      <c r="AF57" s="52"/>
      <c r="AG57" s="52" t="e">
        <f t="shared" si="65"/>
        <v>#DIV/0!</v>
      </c>
      <c r="AH57" s="52"/>
      <c r="AI57" s="52"/>
      <c r="AJ57" s="52" t="e">
        <f t="shared" si="66"/>
        <v>#DIV/0!</v>
      </c>
      <c r="AK57" s="52"/>
      <c r="AL57" s="52"/>
      <c r="AM57" s="52" t="e">
        <f t="shared" si="67"/>
        <v>#DIV/0!</v>
      </c>
      <c r="AN57" s="52"/>
      <c r="AO57" s="52"/>
      <c r="AP57" s="52" t="e">
        <f t="shared" si="68"/>
        <v>#DIV/0!</v>
      </c>
      <c r="AQ57" s="52"/>
      <c r="AR57" s="52"/>
      <c r="AS57" s="52" t="e">
        <f t="shared" si="69"/>
        <v>#DIV/0!</v>
      </c>
      <c r="AT57" s="52"/>
      <c r="AU57" s="52"/>
      <c r="AV57" s="52" t="e">
        <f t="shared" si="70"/>
        <v>#DIV/0!</v>
      </c>
      <c r="AW57" s="52"/>
      <c r="AX57" s="52"/>
      <c r="AY57" s="52" t="e">
        <f t="shared" si="71"/>
        <v>#DIV/0!</v>
      </c>
      <c r="AZ57" s="52"/>
      <c r="BA57" s="52"/>
      <c r="BB57" s="52" t="e">
        <f t="shared" si="72"/>
        <v>#DIV/0!</v>
      </c>
      <c r="BC57" s="52"/>
      <c r="BD57" s="52"/>
      <c r="BE57" s="52" t="e">
        <f t="shared" si="73"/>
        <v>#DIV/0!</v>
      </c>
      <c r="BF57" s="52"/>
      <c r="BG57" s="52"/>
      <c r="BH57" s="52" t="e">
        <f t="shared" si="74"/>
        <v>#DIV/0!</v>
      </c>
      <c r="BI57" s="52"/>
      <c r="BJ57" s="52"/>
      <c r="BK57" s="52" t="e">
        <f t="shared" si="75"/>
        <v>#DIV/0!</v>
      </c>
      <c r="BL57" s="52"/>
      <c r="BM57" s="52"/>
      <c r="BN57" s="52" t="e">
        <f t="shared" si="76"/>
        <v>#DIV/0!</v>
      </c>
      <c r="BO57" s="52"/>
      <c r="BP57" s="52"/>
      <c r="BQ57" s="52" t="e">
        <f t="shared" si="77"/>
        <v>#DIV/0!</v>
      </c>
      <c r="BR57" s="52"/>
      <c r="BS57" s="52"/>
      <c r="BT57" s="52" t="e">
        <f t="shared" si="78"/>
        <v>#DIV/0!</v>
      </c>
      <c r="BU57" s="52"/>
      <c r="BV57" s="52"/>
      <c r="BW57" s="52" t="e">
        <f t="shared" si="79"/>
        <v>#DIV/0!</v>
      </c>
      <c r="BX57" s="52"/>
      <c r="BY57" s="52"/>
      <c r="BZ57" s="52" t="e">
        <f t="shared" si="80"/>
        <v>#DIV/0!</v>
      </c>
      <c r="CA57" s="52"/>
      <c r="CB57" s="52"/>
      <c r="CC57" s="52" t="e">
        <f t="shared" si="81"/>
        <v>#DIV/0!</v>
      </c>
      <c r="CD57" s="33"/>
      <c r="CH57" s="59">
        <f>CF57*CG57</f>
        <v>0</v>
      </c>
      <c r="CP57" s="80">
        <f t="shared" si="27"/>
        <v>0</v>
      </c>
      <c r="CR57" s="145">
        <v>0</v>
      </c>
      <c r="CS57" s="148" t="s">
        <v>315</v>
      </c>
      <c r="CT57" s="145" t="e">
        <v>#DIV/0!</v>
      </c>
      <c r="CU57" s="147">
        <v>0</v>
      </c>
      <c r="CW57" s="43">
        <f>'[4]Skolēnu Pils'!CW57+'[4]Laimīte'!CW57+'[4]Daugmale'!CW57+'[4]Altona'!CW57+'[4]Šaha'!CW57+'[4]BSKR_Rīga'!CW57</f>
        <v>0</v>
      </c>
      <c r="CX57" s="2" t="s">
        <v>315</v>
      </c>
      <c r="CY57" s="43" t="e">
        <f t="shared" si="28"/>
        <v>#DIV/0!</v>
      </c>
      <c r="CZ57" s="139">
        <f>'[4]Skolēnu Pils'!CZ57+'[4]Laimīte'!CZ57+'[4]Daugmale'!CZ57+'[4]Altona'!CZ57+'[4]Šaha'!CZ57+'[4]BSKR_Rīga'!CZ57</f>
        <v>0</v>
      </c>
      <c r="DB57" s="152">
        <v>0</v>
      </c>
      <c r="DC57" s="148" t="s">
        <v>315</v>
      </c>
      <c r="DD57" s="145" t="e">
        <v>#DIV/0!</v>
      </c>
      <c r="DE57" s="152">
        <v>0</v>
      </c>
      <c r="DG57" s="160">
        <v>0</v>
      </c>
      <c r="DH57" s="160" t="s">
        <v>315</v>
      </c>
      <c r="DI57" s="160" t="e">
        <v>#DIV/0!</v>
      </c>
      <c r="DJ57" s="160">
        <v>0</v>
      </c>
      <c r="DL57" s="42"/>
      <c r="DM57" s="2" t="s">
        <v>315</v>
      </c>
      <c r="DN57" s="43" t="e">
        <f t="shared" si="29"/>
        <v>#DIV/0!</v>
      </c>
      <c r="DO57" s="52"/>
      <c r="DQ57" s="42"/>
      <c r="DR57" s="2" t="s">
        <v>315</v>
      </c>
      <c r="DS57" s="43" t="e">
        <f t="shared" si="30"/>
        <v>#DIV/0!</v>
      </c>
      <c r="DT57" s="52"/>
    </row>
    <row r="58" spans="1:124" ht="33">
      <c r="A58" s="3" t="s">
        <v>124</v>
      </c>
      <c r="B58" s="4" t="s">
        <v>5</v>
      </c>
      <c r="C58" s="6" t="s">
        <v>127</v>
      </c>
      <c r="D58" s="43">
        <f t="shared" si="25"/>
        <v>2</v>
      </c>
      <c r="E58" s="8" t="s">
        <v>314</v>
      </c>
      <c r="F58" s="43">
        <f t="shared" si="26"/>
        <v>566.75</v>
      </c>
      <c r="G58" s="59">
        <f t="shared" si="57"/>
        <v>1321.8</v>
      </c>
      <c r="J58" s="52">
        <f>1</f>
        <v>1</v>
      </c>
      <c r="K58" s="52">
        <f>548</f>
        <v>548</v>
      </c>
      <c r="L58" s="77">
        <f t="shared" si="58"/>
        <v>548</v>
      </c>
      <c r="M58" s="52"/>
      <c r="N58" s="52"/>
      <c r="O58" s="52" t="e">
        <f t="shared" si="59"/>
        <v>#DIV/0!</v>
      </c>
      <c r="P58" s="52"/>
      <c r="Q58" s="52"/>
      <c r="R58" s="52" t="e">
        <f t="shared" si="60"/>
        <v>#DIV/0!</v>
      </c>
      <c r="S58" s="52"/>
      <c r="T58" s="52"/>
      <c r="U58" s="52" t="e">
        <f t="shared" si="61"/>
        <v>#DIV/0!</v>
      </c>
      <c r="V58" s="52">
        <f>1</f>
        <v>1</v>
      </c>
      <c r="W58" s="52">
        <f>445</f>
        <v>445</v>
      </c>
      <c r="X58" s="52">
        <f t="shared" si="62"/>
        <v>445</v>
      </c>
      <c r="Y58" s="52"/>
      <c r="Z58" s="52"/>
      <c r="AA58" s="52" t="e">
        <f t="shared" si="63"/>
        <v>#DIV/0!</v>
      </c>
      <c r="AB58" s="52"/>
      <c r="AC58" s="52"/>
      <c r="AD58" s="52" t="e">
        <f t="shared" si="64"/>
        <v>#DIV/0!</v>
      </c>
      <c r="AE58" s="52"/>
      <c r="AF58" s="52"/>
      <c r="AG58" s="52" t="e">
        <f t="shared" si="65"/>
        <v>#DIV/0!</v>
      </c>
      <c r="AH58" s="52"/>
      <c r="AI58" s="52"/>
      <c r="AJ58" s="52" t="e">
        <f t="shared" si="66"/>
        <v>#DIV/0!</v>
      </c>
      <c r="AK58" s="52"/>
      <c r="AL58" s="52"/>
      <c r="AM58" s="52" t="e">
        <f t="shared" si="67"/>
        <v>#DIV/0!</v>
      </c>
      <c r="AN58" s="52"/>
      <c r="AO58" s="52"/>
      <c r="AP58" s="52" t="e">
        <f t="shared" si="68"/>
        <v>#DIV/0!</v>
      </c>
      <c r="AQ58" s="52"/>
      <c r="AR58" s="52"/>
      <c r="AS58" s="52" t="e">
        <f t="shared" si="69"/>
        <v>#DIV/0!</v>
      </c>
      <c r="AT58" s="52"/>
      <c r="AU58" s="52"/>
      <c r="AV58" s="52" t="e">
        <f t="shared" si="70"/>
        <v>#DIV/0!</v>
      </c>
      <c r="AW58" s="52"/>
      <c r="AX58" s="52"/>
      <c r="AY58" s="52" t="e">
        <f t="shared" si="71"/>
        <v>#DIV/0!</v>
      </c>
      <c r="AZ58" s="52"/>
      <c r="BA58" s="52"/>
      <c r="BB58" s="52" t="e">
        <f t="shared" si="72"/>
        <v>#DIV/0!</v>
      </c>
      <c r="BC58" s="52"/>
      <c r="BD58" s="52"/>
      <c r="BE58" s="52" t="e">
        <f t="shared" si="73"/>
        <v>#DIV/0!</v>
      </c>
      <c r="BF58" s="52"/>
      <c r="BG58" s="52"/>
      <c r="BH58" s="52" t="e">
        <f t="shared" si="74"/>
        <v>#DIV/0!</v>
      </c>
      <c r="BI58" s="52"/>
      <c r="BJ58" s="52"/>
      <c r="BK58" s="52" t="e">
        <f t="shared" si="75"/>
        <v>#DIV/0!</v>
      </c>
      <c r="BL58" s="52"/>
      <c r="BM58" s="52"/>
      <c r="BN58" s="52" t="e">
        <f t="shared" si="76"/>
        <v>#DIV/0!</v>
      </c>
      <c r="BO58" s="52"/>
      <c r="BP58" s="52"/>
      <c r="BQ58" s="52" t="e">
        <f t="shared" si="77"/>
        <v>#DIV/0!</v>
      </c>
      <c r="BR58" s="52"/>
      <c r="BS58" s="52"/>
      <c r="BT58" s="52" t="e">
        <f t="shared" si="78"/>
        <v>#DIV/0!</v>
      </c>
      <c r="BU58" s="52"/>
      <c r="BV58" s="52"/>
      <c r="BW58" s="52" t="e">
        <f t="shared" si="79"/>
        <v>#DIV/0!</v>
      </c>
      <c r="BX58" s="52"/>
      <c r="BY58" s="52"/>
      <c r="BZ58" s="52" t="e">
        <f t="shared" si="80"/>
        <v>#DIV/0!</v>
      </c>
      <c r="CA58" s="52">
        <f>0.6</f>
        <v>0.6</v>
      </c>
      <c r="CB58" s="52">
        <f>328.8</f>
        <v>328.8</v>
      </c>
      <c r="CC58" s="52">
        <f t="shared" si="81"/>
        <v>548</v>
      </c>
      <c r="CD58" s="33"/>
      <c r="CH58" s="59">
        <f>CF58*CG58</f>
        <v>0</v>
      </c>
      <c r="CP58" s="80">
        <f t="shared" si="27"/>
        <v>1133.5</v>
      </c>
      <c r="CR58" s="145">
        <v>1</v>
      </c>
      <c r="CS58" s="146" t="s">
        <v>314</v>
      </c>
      <c r="CT58" s="145">
        <v>578.5</v>
      </c>
      <c r="CU58" s="147">
        <v>578.5</v>
      </c>
      <c r="CW58" s="43">
        <f>'[4]Skolēnu Pils'!CW58+'[4]Laimīte'!CW58+'[4]Daugmale'!CW58+'[4]Altona'!CW58+'[4]Šaha'!CW58+'[4]BSKR_Rīga'!CW58</f>
        <v>0</v>
      </c>
      <c r="CX58" s="8" t="s">
        <v>314</v>
      </c>
      <c r="CY58" s="43" t="e">
        <f t="shared" si="28"/>
        <v>#DIV/0!</v>
      </c>
      <c r="CZ58" s="139">
        <f>'[4]Skolēnu Pils'!CZ58+'[4]Laimīte'!CZ58+'[4]Daugmale'!CZ58+'[4]Altona'!CZ58+'[4]Šaha'!CZ58+'[4]BSKR_Rīga'!CZ58</f>
        <v>0</v>
      </c>
      <c r="DB58" s="152">
        <v>1</v>
      </c>
      <c r="DC58" s="146" t="s">
        <v>314</v>
      </c>
      <c r="DD58" s="145">
        <v>555</v>
      </c>
      <c r="DE58" s="152">
        <v>555</v>
      </c>
      <c r="DG58" s="160">
        <v>0</v>
      </c>
      <c r="DH58" s="160" t="s">
        <v>314</v>
      </c>
      <c r="DI58" s="160" t="e">
        <v>#DIV/0!</v>
      </c>
      <c r="DJ58" s="160">
        <v>0</v>
      </c>
      <c r="DL58" s="42"/>
      <c r="DM58" s="8" t="s">
        <v>314</v>
      </c>
      <c r="DN58" s="43" t="e">
        <f t="shared" si="29"/>
        <v>#DIV/0!</v>
      </c>
      <c r="DO58" s="52"/>
      <c r="DQ58" s="42"/>
      <c r="DR58" s="8" t="s">
        <v>314</v>
      </c>
      <c r="DS58" s="43" t="e">
        <f t="shared" si="30"/>
        <v>#DIV/0!</v>
      </c>
      <c r="DT58" s="52"/>
    </row>
    <row r="59" spans="1:124" ht="49.5">
      <c r="A59" s="3" t="s">
        <v>27</v>
      </c>
      <c r="B59" s="4" t="s">
        <v>5</v>
      </c>
      <c r="C59" s="6" t="s">
        <v>35</v>
      </c>
      <c r="D59" s="43">
        <f t="shared" si="25"/>
        <v>4.5</v>
      </c>
      <c r="E59" s="2" t="s">
        <v>315</v>
      </c>
      <c r="F59" s="43">
        <f t="shared" si="26"/>
        <v>554.8888888888889</v>
      </c>
      <c r="G59" s="59">
        <f t="shared" si="57"/>
        <v>2940.11</v>
      </c>
      <c r="J59" s="52">
        <f>0.5+1</f>
        <v>1.5</v>
      </c>
      <c r="K59" s="52">
        <f>300+661</f>
        <v>961</v>
      </c>
      <c r="L59" s="77">
        <f t="shared" si="58"/>
        <v>640.6666666666666</v>
      </c>
      <c r="M59" s="52"/>
      <c r="N59" s="52"/>
      <c r="O59" s="52" t="e">
        <f t="shared" si="59"/>
        <v>#DIV/0!</v>
      </c>
      <c r="P59" s="52"/>
      <c r="Q59" s="52"/>
      <c r="R59" s="52" t="e">
        <f t="shared" si="60"/>
        <v>#DIV/0!</v>
      </c>
      <c r="S59" s="52">
        <f>0.5</f>
        <v>0.5</v>
      </c>
      <c r="T59" s="18">
        <f>330.11</f>
        <v>330.11</v>
      </c>
      <c r="U59" s="52">
        <f t="shared" si="61"/>
        <v>660.22</v>
      </c>
      <c r="V59" s="18">
        <f>0.5</f>
        <v>0.5</v>
      </c>
      <c r="W59" s="52">
        <f>300</f>
        <v>300</v>
      </c>
      <c r="X59" s="52">
        <f t="shared" si="62"/>
        <v>600</v>
      </c>
      <c r="Y59" s="52"/>
      <c r="Z59" s="52"/>
      <c r="AA59" s="52" t="e">
        <f t="shared" si="63"/>
        <v>#DIV/0!</v>
      </c>
      <c r="AB59" s="52">
        <f>1</f>
        <v>1</v>
      </c>
      <c r="AC59" s="52">
        <f>539</f>
        <v>539</v>
      </c>
      <c r="AD59" s="52">
        <f t="shared" si="64"/>
        <v>539</v>
      </c>
      <c r="AE59" s="52">
        <f>1</f>
        <v>1</v>
      </c>
      <c r="AF59" s="52">
        <f>388</f>
        <v>388</v>
      </c>
      <c r="AG59" s="52">
        <f t="shared" si="65"/>
        <v>388</v>
      </c>
      <c r="AH59" s="52"/>
      <c r="AI59" s="52"/>
      <c r="AJ59" s="52" t="e">
        <f t="shared" si="66"/>
        <v>#DIV/0!</v>
      </c>
      <c r="AK59" s="52"/>
      <c r="AL59" s="52"/>
      <c r="AM59" s="52" t="e">
        <f t="shared" si="67"/>
        <v>#DIV/0!</v>
      </c>
      <c r="AN59" s="52"/>
      <c r="AO59" s="52"/>
      <c r="AP59" s="52" t="e">
        <f t="shared" si="68"/>
        <v>#DIV/0!</v>
      </c>
      <c r="AQ59" s="52">
        <f>0.5</f>
        <v>0.5</v>
      </c>
      <c r="AR59" s="52">
        <f>190</f>
        <v>190</v>
      </c>
      <c r="AS59" s="52">
        <f t="shared" si="69"/>
        <v>380</v>
      </c>
      <c r="AT59" s="52">
        <f>0.5</f>
        <v>0.5</v>
      </c>
      <c r="AU59" s="52">
        <f>232</f>
        <v>232</v>
      </c>
      <c r="AV59" s="52">
        <f t="shared" si="70"/>
        <v>464</v>
      </c>
      <c r="AW59" s="52"/>
      <c r="AX59" s="52"/>
      <c r="AY59" s="52" t="e">
        <f t="shared" si="71"/>
        <v>#DIV/0!</v>
      </c>
      <c r="AZ59" s="52"/>
      <c r="BA59" s="52"/>
      <c r="BB59" s="52" t="e">
        <f t="shared" si="72"/>
        <v>#DIV/0!</v>
      </c>
      <c r="BC59" s="52"/>
      <c r="BD59" s="52"/>
      <c r="BE59" s="52" t="e">
        <f t="shared" si="73"/>
        <v>#DIV/0!</v>
      </c>
      <c r="BF59" s="52"/>
      <c r="BG59" s="52"/>
      <c r="BH59" s="52" t="e">
        <f t="shared" si="74"/>
        <v>#DIV/0!</v>
      </c>
      <c r="BI59" s="52"/>
      <c r="BJ59" s="52"/>
      <c r="BK59" s="52" t="e">
        <f t="shared" si="75"/>
        <v>#DIV/0!</v>
      </c>
      <c r="BL59" s="52"/>
      <c r="BM59" s="52"/>
      <c r="BN59" s="52" t="e">
        <f t="shared" si="76"/>
        <v>#DIV/0!</v>
      </c>
      <c r="BO59" s="52"/>
      <c r="BP59" s="52"/>
      <c r="BQ59" s="52" t="e">
        <f t="shared" si="77"/>
        <v>#DIV/0!</v>
      </c>
      <c r="BR59" s="52"/>
      <c r="BS59" s="52"/>
      <c r="BT59" s="52" t="e">
        <f t="shared" si="78"/>
        <v>#DIV/0!</v>
      </c>
      <c r="BU59" s="52"/>
      <c r="BV59" s="52"/>
      <c r="BW59" s="52" t="e">
        <f t="shared" si="79"/>
        <v>#DIV/0!</v>
      </c>
      <c r="BX59" s="52"/>
      <c r="BY59" s="52"/>
      <c r="BZ59" s="52" t="e">
        <f t="shared" si="80"/>
        <v>#DIV/0!</v>
      </c>
      <c r="CA59" s="52"/>
      <c r="CB59" s="52"/>
      <c r="CC59" s="52" t="e">
        <f t="shared" si="81"/>
        <v>#DIV/0!</v>
      </c>
      <c r="CD59" s="33"/>
      <c r="CG59" s="59">
        <f>CF59*CH59</f>
        <v>0</v>
      </c>
      <c r="CP59" s="80">
        <f t="shared" si="27"/>
        <v>2497</v>
      </c>
      <c r="CR59" s="145">
        <v>1</v>
      </c>
      <c r="CS59" s="148" t="s">
        <v>315</v>
      </c>
      <c r="CT59" s="145">
        <v>575</v>
      </c>
      <c r="CU59" s="147">
        <v>575</v>
      </c>
      <c r="CW59" s="43">
        <f>'[4]Skolēnu Pils'!CW59+'[4]Laimīte'!CW59+'[4]Daugmale'!CW59+'[4]Altona'!CW59+'[4]Šaha'!CW59+'[4]BSKR_Rīga'!CW59</f>
        <v>0</v>
      </c>
      <c r="CX59" s="2" t="s">
        <v>315</v>
      </c>
      <c r="CY59" s="43" t="e">
        <f t="shared" si="28"/>
        <v>#DIV/0!</v>
      </c>
      <c r="CZ59" s="139">
        <f>'[4]Skolēnu Pils'!CZ59+'[4]Laimīte'!CZ59+'[4]Daugmale'!CZ59+'[4]Altona'!CZ59+'[4]Šaha'!CZ59+'[4]BSKR_Rīga'!CZ59</f>
        <v>0</v>
      </c>
      <c r="DB59" s="152">
        <v>3.5</v>
      </c>
      <c r="DC59" s="148" t="s">
        <v>315</v>
      </c>
      <c r="DD59" s="145">
        <v>549.1428571428571</v>
      </c>
      <c r="DE59" s="152">
        <v>1922</v>
      </c>
      <c r="DG59" s="160">
        <v>0</v>
      </c>
      <c r="DH59" s="160" t="s">
        <v>315</v>
      </c>
      <c r="DI59" s="160" t="e">
        <v>#DIV/0!</v>
      </c>
      <c r="DJ59" s="160">
        <v>0</v>
      </c>
      <c r="DL59" s="42"/>
      <c r="DM59" s="2" t="s">
        <v>315</v>
      </c>
      <c r="DN59" s="43" t="e">
        <f t="shared" si="29"/>
        <v>#DIV/0!</v>
      </c>
      <c r="DO59" s="52"/>
      <c r="DQ59" s="42"/>
      <c r="DR59" s="2" t="s">
        <v>315</v>
      </c>
      <c r="DS59" s="43" t="e">
        <f t="shared" si="30"/>
        <v>#DIV/0!</v>
      </c>
      <c r="DT59" s="52"/>
    </row>
    <row r="60" spans="1:124" ht="33">
      <c r="A60" s="3" t="s">
        <v>47</v>
      </c>
      <c r="B60" s="4" t="s">
        <v>10</v>
      </c>
      <c r="C60" s="6" t="s">
        <v>52</v>
      </c>
      <c r="D60" s="43">
        <f t="shared" si="25"/>
        <v>0</v>
      </c>
      <c r="E60" s="2" t="s">
        <v>307</v>
      </c>
      <c r="F60" s="43">
        <v>0</v>
      </c>
      <c r="G60" s="59">
        <f t="shared" si="57"/>
        <v>978</v>
      </c>
      <c r="J60" s="52"/>
      <c r="K60" s="52"/>
      <c r="L60" s="77" t="e">
        <f t="shared" si="58"/>
        <v>#DIV/0!</v>
      </c>
      <c r="M60" s="52"/>
      <c r="N60" s="52"/>
      <c r="O60" s="52" t="e">
        <f t="shared" si="59"/>
        <v>#DIV/0!</v>
      </c>
      <c r="P60" s="52"/>
      <c r="Q60" s="52"/>
      <c r="R60" s="52" t="e">
        <f t="shared" si="60"/>
        <v>#DIV/0!</v>
      </c>
      <c r="S60" s="52"/>
      <c r="T60" s="52"/>
      <c r="U60" s="52" t="e">
        <f t="shared" si="61"/>
        <v>#DIV/0!</v>
      </c>
      <c r="V60" s="52"/>
      <c r="W60" s="52"/>
      <c r="X60" s="52" t="e">
        <f t="shared" si="62"/>
        <v>#DIV/0!</v>
      </c>
      <c r="Y60" s="52"/>
      <c r="Z60" s="52"/>
      <c r="AA60" s="52" t="e">
        <f t="shared" si="63"/>
        <v>#DIV/0!</v>
      </c>
      <c r="AB60" s="52"/>
      <c r="AC60" s="52"/>
      <c r="AD60" s="52" t="e">
        <f t="shared" si="64"/>
        <v>#DIV/0!</v>
      </c>
      <c r="AE60" s="52"/>
      <c r="AF60" s="52"/>
      <c r="AG60" s="52" t="e">
        <f t="shared" si="65"/>
        <v>#DIV/0!</v>
      </c>
      <c r="AH60" s="52"/>
      <c r="AI60" s="52"/>
      <c r="AJ60" s="52" t="e">
        <f t="shared" si="66"/>
        <v>#DIV/0!</v>
      </c>
      <c r="AK60" s="52"/>
      <c r="AL60" s="52"/>
      <c r="AM60" s="52" t="e">
        <f t="shared" si="67"/>
        <v>#DIV/0!</v>
      </c>
      <c r="AN60" s="52"/>
      <c r="AO60" s="52"/>
      <c r="AP60" s="52" t="e">
        <f t="shared" si="68"/>
        <v>#DIV/0!</v>
      </c>
      <c r="AQ60" s="52"/>
      <c r="AR60" s="52"/>
      <c r="AS60" s="52" t="e">
        <f t="shared" si="69"/>
        <v>#DIV/0!</v>
      </c>
      <c r="AT60" s="52"/>
      <c r="AU60" s="52"/>
      <c r="AV60" s="52" t="e">
        <f t="shared" si="70"/>
        <v>#DIV/0!</v>
      </c>
      <c r="AW60" s="52"/>
      <c r="AX60" s="52"/>
      <c r="AY60" s="52" t="e">
        <f t="shared" si="71"/>
        <v>#DIV/0!</v>
      </c>
      <c r="AZ60" s="52"/>
      <c r="BA60" s="52"/>
      <c r="BB60" s="52" t="e">
        <f t="shared" si="72"/>
        <v>#DIV/0!</v>
      </c>
      <c r="BC60" s="52"/>
      <c r="BD60" s="52"/>
      <c r="BE60" s="52" t="e">
        <f t="shared" si="73"/>
        <v>#DIV/0!</v>
      </c>
      <c r="BF60" s="52"/>
      <c r="BG60" s="52"/>
      <c r="BH60" s="52" t="e">
        <f t="shared" si="74"/>
        <v>#DIV/0!</v>
      </c>
      <c r="BI60" s="52"/>
      <c r="BJ60" s="52"/>
      <c r="BK60" s="52" t="e">
        <f t="shared" si="75"/>
        <v>#DIV/0!</v>
      </c>
      <c r="BL60" s="52"/>
      <c r="BM60" s="52"/>
      <c r="BN60" s="52" t="e">
        <f t="shared" si="76"/>
        <v>#DIV/0!</v>
      </c>
      <c r="BO60" s="52"/>
      <c r="BP60" s="52"/>
      <c r="BQ60" s="52" t="e">
        <f t="shared" si="77"/>
        <v>#DIV/0!</v>
      </c>
      <c r="BR60" s="52"/>
      <c r="BS60" s="52"/>
      <c r="BT60" s="52" t="e">
        <f t="shared" si="78"/>
        <v>#DIV/0!</v>
      </c>
      <c r="BU60" s="52"/>
      <c r="BV60" s="52"/>
      <c r="BW60" s="52" t="e">
        <f t="shared" si="79"/>
        <v>#DIV/0!</v>
      </c>
      <c r="BX60" s="52"/>
      <c r="BY60" s="52"/>
      <c r="BZ60" s="52" t="e">
        <f t="shared" si="80"/>
        <v>#DIV/0!</v>
      </c>
      <c r="CA60" s="52">
        <f>1</f>
        <v>1</v>
      </c>
      <c r="CB60" s="52">
        <f>978</f>
        <v>978</v>
      </c>
      <c r="CC60" s="52">
        <f t="shared" si="81"/>
        <v>978</v>
      </c>
      <c r="CD60" s="33"/>
      <c r="CH60" s="59">
        <f aca="true" t="shared" si="82" ref="CH60:CH65">CF60*CG60</f>
        <v>0</v>
      </c>
      <c r="CP60" s="80">
        <f t="shared" si="27"/>
        <v>0</v>
      </c>
      <c r="CR60" s="145">
        <v>0</v>
      </c>
      <c r="CS60" s="148" t="s">
        <v>307</v>
      </c>
      <c r="CT60" s="145" t="e">
        <v>#DIV/0!</v>
      </c>
      <c r="CU60" s="147">
        <v>0</v>
      </c>
      <c r="CW60" s="43">
        <f>'[4]Skolēnu Pils'!CW60+'[4]Laimīte'!CW60+'[4]Daugmale'!CW60+'[4]Altona'!CW60+'[4]Šaha'!CW60+'[4]BSKR_Rīga'!CW60</f>
        <v>0</v>
      </c>
      <c r="CX60" s="2" t="s">
        <v>307</v>
      </c>
      <c r="CY60" s="43" t="e">
        <f t="shared" si="28"/>
        <v>#DIV/0!</v>
      </c>
      <c r="CZ60" s="139">
        <f>'[4]Skolēnu Pils'!CZ60+'[4]Laimīte'!CZ60+'[4]Daugmale'!CZ60+'[4]Altona'!CZ60+'[4]Šaha'!CZ60+'[4]BSKR_Rīga'!CZ60</f>
        <v>0</v>
      </c>
      <c r="DB60" s="152">
        <v>0</v>
      </c>
      <c r="DC60" s="148" t="s">
        <v>307</v>
      </c>
      <c r="DD60" s="145" t="e">
        <v>#DIV/0!</v>
      </c>
      <c r="DE60" s="152">
        <v>0</v>
      </c>
      <c r="DG60" s="160">
        <v>0</v>
      </c>
      <c r="DH60" s="160" t="s">
        <v>307</v>
      </c>
      <c r="DI60" s="160" t="e">
        <v>#DIV/0!</v>
      </c>
      <c r="DJ60" s="160">
        <v>0</v>
      </c>
      <c r="DL60" s="42"/>
      <c r="DM60" s="2" t="s">
        <v>307</v>
      </c>
      <c r="DN60" s="43" t="e">
        <f t="shared" si="29"/>
        <v>#DIV/0!</v>
      </c>
      <c r="DO60" s="52"/>
      <c r="DQ60" s="42"/>
      <c r="DR60" s="2" t="s">
        <v>307</v>
      </c>
      <c r="DS60" s="43" t="e">
        <f t="shared" si="30"/>
        <v>#DIV/0!</v>
      </c>
      <c r="DT60" s="52"/>
    </row>
    <row r="61" spans="1:124" ht="17.25">
      <c r="A61" s="3" t="s">
        <v>115</v>
      </c>
      <c r="B61" s="4" t="s">
        <v>5</v>
      </c>
      <c r="C61" s="11" t="s">
        <v>121</v>
      </c>
      <c r="D61" s="43">
        <f t="shared" si="25"/>
        <v>18</v>
      </c>
      <c r="E61" s="8" t="s">
        <v>314</v>
      </c>
      <c r="F61" s="43">
        <f t="shared" si="26"/>
        <v>512.7777777777778</v>
      </c>
      <c r="G61" s="59">
        <f t="shared" si="57"/>
        <v>8289.7</v>
      </c>
      <c r="J61" s="52"/>
      <c r="K61" s="52"/>
      <c r="L61" s="77" t="e">
        <f t="shared" si="58"/>
        <v>#DIV/0!</v>
      </c>
      <c r="M61" s="52"/>
      <c r="N61" s="52"/>
      <c r="O61" s="52" t="e">
        <f t="shared" si="59"/>
        <v>#DIV/0!</v>
      </c>
      <c r="P61" s="52"/>
      <c r="Q61" s="52"/>
      <c r="R61" s="52" t="e">
        <f t="shared" si="60"/>
        <v>#DIV/0!</v>
      </c>
      <c r="S61" s="52"/>
      <c r="T61" s="52"/>
      <c r="U61" s="52" t="e">
        <f t="shared" si="61"/>
        <v>#DIV/0!</v>
      </c>
      <c r="V61" s="52"/>
      <c r="W61" s="52"/>
      <c r="X61" s="52" t="e">
        <f t="shared" si="62"/>
        <v>#DIV/0!</v>
      </c>
      <c r="Y61" s="52"/>
      <c r="Z61" s="52"/>
      <c r="AA61" s="52" t="e">
        <f t="shared" si="63"/>
        <v>#DIV/0!</v>
      </c>
      <c r="AB61" s="52"/>
      <c r="AC61" s="52"/>
      <c r="AD61" s="52" t="e">
        <f t="shared" si="64"/>
        <v>#DIV/0!</v>
      </c>
      <c r="AE61" s="52">
        <f>0.5</f>
        <v>0.5</v>
      </c>
      <c r="AF61" s="52">
        <f>208</f>
        <v>208</v>
      </c>
      <c r="AG61" s="52">
        <f t="shared" si="65"/>
        <v>416</v>
      </c>
      <c r="AH61" s="52"/>
      <c r="AI61" s="52"/>
      <c r="AJ61" s="52" t="e">
        <f t="shared" si="66"/>
        <v>#DIV/0!</v>
      </c>
      <c r="AK61" s="52"/>
      <c r="AL61" s="52"/>
      <c r="AM61" s="52" t="e">
        <f t="shared" si="67"/>
        <v>#DIV/0!</v>
      </c>
      <c r="AN61" s="52"/>
      <c r="AO61" s="52"/>
      <c r="AP61" s="52" t="e">
        <f t="shared" si="68"/>
        <v>#DIV/0!</v>
      </c>
      <c r="AQ61" s="52"/>
      <c r="AR61" s="52"/>
      <c r="AS61" s="52" t="e">
        <f t="shared" si="69"/>
        <v>#DIV/0!</v>
      </c>
      <c r="AT61" s="52"/>
      <c r="AU61" s="52"/>
      <c r="AV61" s="52" t="e">
        <f t="shared" si="70"/>
        <v>#DIV/0!</v>
      </c>
      <c r="AW61" s="52"/>
      <c r="AX61" s="52"/>
      <c r="AY61" s="52" t="e">
        <f t="shared" si="71"/>
        <v>#DIV/0!</v>
      </c>
      <c r="AZ61" s="52"/>
      <c r="BA61" s="52"/>
      <c r="BB61" s="52" t="e">
        <f t="shared" si="72"/>
        <v>#DIV/0!</v>
      </c>
      <c r="BC61" s="52"/>
      <c r="BD61" s="52"/>
      <c r="BE61" s="52" t="e">
        <f t="shared" si="73"/>
        <v>#DIV/0!</v>
      </c>
      <c r="BF61" s="52"/>
      <c r="BG61" s="52"/>
      <c r="BH61" s="52" t="e">
        <f t="shared" si="74"/>
        <v>#DIV/0!</v>
      </c>
      <c r="BI61" s="52"/>
      <c r="BJ61" s="52"/>
      <c r="BK61" s="52" t="e">
        <f t="shared" si="75"/>
        <v>#DIV/0!</v>
      </c>
      <c r="BL61" s="52"/>
      <c r="BM61" s="52"/>
      <c r="BN61" s="52" t="e">
        <f t="shared" si="76"/>
        <v>#DIV/0!</v>
      </c>
      <c r="BO61" s="52"/>
      <c r="BP61" s="52"/>
      <c r="BQ61" s="52" t="e">
        <f t="shared" si="77"/>
        <v>#DIV/0!</v>
      </c>
      <c r="BR61" s="52"/>
      <c r="BS61" s="52"/>
      <c r="BT61" s="52" t="e">
        <f t="shared" si="78"/>
        <v>#DIV/0!</v>
      </c>
      <c r="BU61" s="52"/>
      <c r="BV61" s="52"/>
      <c r="BW61" s="52" t="e">
        <f t="shared" si="79"/>
        <v>#DIV/0!</v>
      </c>
      <c r="BX61" s="52"/>
      <c r="BY61" s="52"/>
      <c r="BZ61" s="52" t="e">
        <f t="shared" si="80"/>
        <v>#DIV/0!</v>
      </c>
      <c r="CA61" s="52">
        <f>4+6+4+3</f>
        <v>17</v>
      </c>
      <c r="CB61" s="52">
        <f>4*489.5+6*451+4*523.6+3*441.1</f>
        <v>8081.7</v>
      </c>
      <c r="CC61" s="52">
        <f t="shared" si="81"/>
        <v>475.3941176470588</v>
      </c>
      <c r="CD61" s="33"/>
      <c r="CH61" s="59">
        <f t="shared" si="82"/>
        <v>0</v>
      </c>
      <c r="CP61" s="80">
        <f t="shared" si="27"/>
        <v>9230</v>
      </c>
      <c r="CR61" s="145">
        <v>17</v>
      </c>
      <c r="CS61" s="146" t="s">
        <v>314</v>
      </c>
      <c r="CT61" s="145">
        <v>510.70588235294116</v>
      </c>
      <c r="CU61" s="147">
        <v>8682</v>
      </c>
      <c r="CW61" s="43">
        <f>'[4]Skolēnu Pils'!CW61+'[4]Laimīte'!CW61+'[4]Daugmale'!CW61+'[4]Altona'!CW61+'[4]Šaha'!CW61+'[4]BSKR_Rīga'!CW61</f>
        <v>0</v>
      </c>
      <c r="CX61" s="8" t="s">
        <v>314</v>
      </c>
      <c r="CY61" s="43" t="e">
        <f t="shared" si="28"/>
        <v>#DIV/0!</v>
      </c>
      <c r="CZ61" s="139">
        <f>'[4]Skolēnu Pils'!CZ61+'[4]Laimīte'!CZ61+'[4]Daugmale'!CZ61+'[4]Altona'!CZ61+'[4]Šaha'!CZ61+'[4]BSKR_Rīga'!CZ61</f>
        <v>0</v>
      </c>
      <c r="DB61" s="152">
        <v>1</v>
      </c>
      <c r="DC61" s="146" t="s">
        <v>314</v>
      </c>
      <c r="DD61" s="145">
        <v>548</v>
      </c>
      <c r="DE61" s="152">
        <v>548</v>
      </c>
      <c r="DG61" s="160">
        <v>0</v>
      </c>
      <c r="DH61" s="160" t="s">
        <v>314</v>
      </c>
      <c r="DI61" s="160" t="e">
        <v>#DIV/0!</v>
      </c>
      <c r="DJ61" s="160">
        <v>0</v>
      </c>
      <c r="DL61" s="42"/>
      <c r="DM61" s="8" t="s">
        <v>314</v>
      </c>
      <c r="DN61" s="43" t="e">
        <f t="shared" si="29"/>
        <v>#DIV/0!</v>
      </c>
      <c r="DO61" s="52"/>
      <c r="DQ61" s="42"/>
      <c r="DR61" s="8" t="s">
        <v>314</v>
      </c>
      <c r="DS61" s="43" t="e">
        <f t="shared" si="30"/>
        <v>#DIV/0!</v>
      </c>
      <c r="DT61" s="52"/>
    </row>
    <row r="62" spans="1:124" ht="17.25">
      <c r="A62" s="4" t="s">
        <v>67</v>
      </c>
      <c r="B62" s="4" t="s">
        <v>5</v>
      </c>
      <c r="C62" s="6" t="s">
        <v>83</v>
      </c>
      <c r="D62" s="43">
        <f t="shared" si="25"/>
        <v>0</v>
      </c>
      <c r="E62" s="8" t="s">
        <v>316</v>
      </c>
      <c r="F62" s="43"/>
      <c r="G62" s="59">
        <f t="shared" si="57"/>
        <v>0</v>
      </c>
      <c r="J62" s="52"/>
      <c r="K62" s="52"/>
      <c r="L62" s="77" t="e">
        <f t="shared" si="58"/>
        <v>#DIV/0!</v>
      </c>
      <c r="M62" s="52"/>
      <c r="N62" s="52"/>
      <c r="O62" s="52" t="e">
        <f t="shared" si="59"/>
        <v>#DIV/0!</v>
      </c>
      <c r="P62" s="52"/>
      <c r="Q62" s="52"/>
      <c r="R62" s="52" t="e">
        <f t="shared" si="60"/>
        <v>#DIV/0!</v>
      </c>
      <c r="S62" s="52"/>
      <c r="T62" s="52"/>
      <c r="U62" s="52" t="e">
        <f t="shared" si="61"/>
        <v>#DIV/0!</v>
      </c>
      <c r="V62" s="52"/>
      <c r="W62" s="52"/>
      <c r="X62" s="52" t="e">
        <f t="shared" si="62"/>
        <v>#DIV/0!</v>
      </c>
      <c r="Y62" s="52"/>
      <c r="Z62" s="52"/>
      <c r="AA62" s="52" t="e">
        <f t="shared" si="63"/>
        <v>#DIV/0!</v>
      </c>
      <c r="AB62" s="52"/>
      <c r="AC62" s="52"/>
      <c r="AD62" s="52" t="e">
        <f t="shared" si="64"/>
        <v>#DIV/0!</v>
      </c>
      <c r="AE62" s="52"/>
      <c r="AF62" s="52"/>
      <c r="AG62" s="52" t="e">
        <f t="shared" si="65"/>
        <v>#DIV/0!</v>
      </c>
      <c r="AH62" s="52"/>
      <c r="AI62" s="52"/>
      <c r="AJ62" s="52" t="e">
        <f t="shared" si="66"/>
        <v>#DIV/0!</v>
      </c>
      <c r="AK62" s="52"/>
      <c r="AL62" s="52"/>
      <c r="AM62" s="52" t="e">
        <f t="shared" si="67"/>
        <v>#DIV/0!</v>
      </c>
      <c r="AN62" s="52"/>
      <c r="AO62" s="52"/>
      <c r="AP62" s="52" t="e">
        <f t="shared" si="68"/>
        <v>#DIV/0!</v>
      </c>
      <c r="AQ62" s="52"/>
      <c r="AR62" s="52"/>
      <c r="AS62" s="52" t="e">
        <f t="shared" si="69"/>
        <v>#DIV/0!</v>
      </c>
      <c r="AT62" s="52"/>
      <c r="AU62" s="52"/>
      <c r="AV62" s="52" t="e">
        <f t="shared" si="70"/>
        <v>#DIV/0!</v>
      </c>
      <c r="AW62" s="52"/>
      <c r="AX62" s="52"/>
      <c r="AY62" s="52" t="e">
        <f t="shared" si="71"/>
        <v>#DIV/0!</v>
      </c>
      <c r="AZ62" s="52"/>
      <c r="BA62" s="52"/>
      <c r="BB62" s="52" t="e">
        <f t="shared" si="72"/>
        <v>#DIV/0!</v>
      </c>
      <c r="BC62" s="52"/>
      <c r="BD62" s="52"/>
      <c r="BE62" s="52" t="e">
        <f t="shared" si="73"/>
        <v>#DIV/0!</v>
      </c>
      <c r="BF62" s="52"/>
      <c r="BG62" s="52"/>
      <c r="BH62" s="52" t="e">
        <f t="shared" si="74"/>
        <v>#DIV/0!</v>
      </c>
      <c r="BI62" s="52"/>
      <c r="BJ62" s="52"/>
      <c r="BK62" s="52" t="e">
        <f t="shared" si="75"/>
        <v>#DIV/0!</v>
      </c>
      <c r="BL62" s="52"/>
      <c r="BM62" s="52"/>
      <c r="BN62" s="52" t="e">
        <f t="shared" si="76"/>
        <v>#DIV/0!</v>
      </c>
      <c r="BO62" s="52"/>
      <c r="BP62" s="52"/>
      <c r="BQ62" s="52" t="e">
        <f t="shared" si="77"/>
        <v>#DIV/0!</v>
      </c>
      <c r="BR62" s="52"/>
      <c r="BS62" s="52"/>
      <c r="BT62" s="52" t="e">
        <f t="shared" si="78"/>
        <v>#DIV/0!</v>
      </c>
      <c r="BU62" s="52"/>
      <c r="BV62" s="52"/>
      <c r="BW62" s="52" t="e">
        <f t="shared" si="79"/>
        <v>#DIV/0!</v>
      </c>
      <c r="BX62" s="52"/>
      <c r="BY62" s="52"/>
      <c r="BZ62" s="52" t="e">
        <f t="shared" si="80"/>
        <v>#DIV/0!</v>
      </c>
      <c r="CA62" s="52"/>
      <c r="CB62" s="52"/>
      <c r="CC62" s="52" t="e">
        <f t="shared" si="81"/>
        <v>#DIV/0!</v>
      </c>
      <c r="CD62" s="33"/>
      <c r="CH62" s="59">
        <f t="shared" si="82"/>
        <v>0</v>
      </c>
      <c r="CP62" s="80">
        <f t="shared" si="27"/>
        <v>0</v>
      </c>
      <c r="CR62" s="145">
        <v>0</v>
      </c>
      <c r="CS62" s="146" t="s">
        <v>316</v>
      </c>
      <c r="CT62" s="145" t="e">
        <v>#DIV/0!</v>
      </c>
      <c r="CU62" s="147">
        <v>0</v>
      </c>
      <c r="CW62" s="43">
        <f>'[4]Skolēnu Pils'!CW62+'[4]Laimīte'!CW62+'[4]Daugmale'!CW62+'[4]Altona'!CW62+'[4]Šaha'!CW62+'[4]BSKR_Rīga'!CW62</f>
        <v>0</v>
      </c>
      <c r="CX62" s="8" t="s">
        <v>316</v>
      </c>
      <c r="CY62" s="43" t="e">
        <f>CZ62/CW62</f>
        <v>#DIV/0!</v>
      </c>
      <c r="CZ62" s="139">
        <f>'[4]Skolēnu Pils'!CZ62+'[4]Laimīte'!CZ62+'[4]Daugmale'!CZ62+'[4]Altona'!CZ62+'[4]Šaha'!CZ62+'[4]BSKR_Rīga'!CZ62</f>
        <v>0</v>
      </c>
      <c r="DB62" s="152">
        <v>0</v>
      </c>
      <c r="DC62" s="146" t="s">
        <v>316</v>
      </c>
      <c r="DD62" s="145" t="e">
        <v>#DIV/0!</v>
      </c>
      <c r="DE62" s="152">
        <v>0</v>
      </c>
      <c r="DG62" s="160">
        <v>0</v>
      </c>
      <c r="DH62" s="160" t="s">
        <v>316</v>
      </c>
      <c r="DI62" s="160" t="e">
        <v>#DIV/0!</v>
      </c>
      <c r="DJ62" s="160">
        <v>0</v>
      </c>
      <c r="DL62" s="42"/>
      <c r="DM62" s="8" t="s">
        <v>316</v>
      </c>
      <c r="DN62" s="43" t="e">
        <f>DO62/DL62</f>
        <v>#DIV/0!</v>
      </c>
      <c r="DO62" s="52"/>
      <c r="DQ62" s="42"/>
      <c r="DR62" s="8" t="s">
        <v>316</v>
      </c>
      <c r="DS62" s="43" t="e">
        <f>DT62/DQ62</f>
        <v>#DIV/0!</v>
      </c>
      <c r="DT62" s="52"/>
    </row>
    <row r="63" spans="1:124" ht="33">
      <c r="A63" s="4" t="s">
        <v>114</v>
      </c>
      <c r="B63" s="4" t="s">
        <v>30</v>
      </c>
      <c r="C63" s="11" t="s">
        <v>120</v>
      </c>
      <c r="D63" s="43">
        <f t="shared" si="25"/>
        <v>1</v>
      </c>
      <c r="E63" s="4" t="s">
        <v>307</v>
      </c>
      <c r="F63" s="43">
        <f t="shared" si="26"/>
        <v>723</v>
      </c>
      <c r="G63" s="59">
        <f t="shared" si="57"/>
        <v>682</v>
      </c>
      <c r="J63" s="52">
        <f>1</f>
        <v>1</v>
      </c>
      <c r="K63" s="52">
        <f>682</f>
        <v>682</v>
      </c>
      <c r="L63" s="77">
        <f t="shared" si="58"/>
        <v>682</v>
      </c>
      <c r="M63" s="52"/>
      <c r="N63" s="52"/>
      <c r="O63" s="52" t="e">
        <f t="shared" si="59"/>
        <v>#DIV/0!</v>
      </c>
      <c r="P63" s="52"/>
      <c r="Q63" s="52"/>
      <c r="R63" s="52" t="e">
        <f t="shared" si="60"/>
        <v>#DIV/0!</v>
      </c>
      <c r="S63" s="52"/>
      <c r="T63" s="52"/>
      <c r="U63" s="52" t="e">
        <f t="shared" si="61"/>
        <v>#DIV/0!</v>
      </c>
      <c r="V63" s="52"/>
      <c r="W63" s="52"/>
      <c r="X63" s="52" t="e">
        <f t="shared" si="62"/>
        <v>#DIV/0!</v>
      </c>
      <c r="Y63" s="52"/>
      <c r="Z63" s="52"/>
      <c r="AA63" s="52" t="e">
        <f t="shared" si="63"/>
        <v>#DIV/0!</v>
      </c>
      <c r="AB63" s="52"/>
      <c r="AC63" s="52"/>
      <c r="AD63" s="52" t="e">
        <f t="shared" si="64"/>
        <v>#DIV/0!</v>
      </c>
      <c r="AE63" s="52"/>
      <c r="AF63" s="52"/>
      <c r="AG63" s="52" t="e">
        <f t="shared" si="65"/>
        <v>#DIV/0!</v>
      </c>
      <c r="AH63" s="52"/>
      <c r="AI63" s="52"/>
      <c r="AJ63" s="52" t="e">
        <f t="shared" si="66"/>
        <v>#DIV/0!</v>
      </c>
      <c r="AK63" s="52"/>
      <c r="AL63" s="52"/>
      <c r="AM63" s="52" t="e">
        <f t="shared" si="67"/>
        <v>#DIV/0!</v>
      </c>
      <c r="AN63" s="52"/>
      <c r="AO63" s="52"/>
      <c r="AP63" s="52" t="e">
        <f t="shared" si="68"/>
        <v>#DIV/0!</v>
      </c>
      <c r="AQ63" s="52"/>
      <c r="AR63" s="52"/>
      <c r="AS63" s="52" t="e">
        <f t="shared" si="69"/>
        <v>#DIV/0!</v>
      </c>
      <c r="AT63" s="52"/>
      <c r="AU63" s="52"/>
      <c r="AV63" s="52" t="e">
        <f t="shared" si="70"/>
        <v>#DIV/0!</v>
      </c>
      <c r="AW63" s="52"/>
      <c r="AX63" s="52"/>
      <c r="AY63" s="52" t="e">
        <f t="shared" si="71"/>
        <v>#DIV/0!</v>
      </c>
      <c r="AZ63" s="52"/>
      <c r="BA63" s="52"/>
      <c r="BB63" s="52" t="e">
        <f t="shared" si="72"/>
        <v>#DIV/0!</v>
      </c>
      <c r="BC63" s="52"/>
      <c r="BD63" s="52"/>
      <c r="BE63" s="52" t="e">
        <f t="shared" si="73"/>
        <v>#DIV/0!</v>
      </c>
      <c r="BF63" s="52"/>
      <c r="BG63" s="52"/>
      <c r="BH63" s="52" t="e">
        <f t="shared" si="74"/>
        <v>#DIV/0!</v>
      </c>
      <c r="BI63" s="52"/>
      <c r="BJ63" s="52"/>
      <c r="BK63" s="52" t="e">
        <f t="shared" si="75"/>
        <v>#DIV/0!</v>
      </c>
      <c r="BL63" s="52"/>
      <c r="BM63" s="52"/>
      <c r="BN63" s="52" t="e">
        <f t="shared" si="76"/>
        <v>#DIV/0!</v>
      </c>
      <c r="BO63" s="52"/>
      <c r="BP63" s="52"/>
      <c r="BQ63" s="52" t="e">
        <f t="shared" si="77"/>
        <v>#DIV/0!</v>
      </c>
      <c r="BR63" s="52"/>
      <c r="BS63" s="52"/>
      <c r="BT63" s="52" t="e">
        <f t="shared" si="78"/>
        <v>#DIV/0!</v>
      </c>
      <c r="BU63" s="52"/>
      <c r="BV63" s="52"/>
      <c r="BW63" s="52" t="e">
        <f t="shared" si="79"/>
        <v>#DIV/0!</v>
      </c>
      <c r="BX63" s="52"/>
      <c r="BY63" s="52"/>
      <c r="BZ63" s="52" t="e">
        <f t="shared" si="80"/>
        <v>#DIV/0!</v>
      </c>
      <c r="CA63" s="52"/>
      <c r="CB63" s="52"/>
      <c r="CC63" s="52" t="e">
        <f t="shared" si="81"/>
        <v>#DIV/0!</v>
      </c>
      <c r="CD63" s="33"/>
      <c r="CH63" s="59">
        <f t="shared" si="82"/>
        <v>0</v>
      </c>
      <c r="CP63" s="80">
        <f t="shared" si="27"/>
        <v>723</v>
      </c>
      <c r="CR63" s="145">
        <v>0</v>
      </c>
      <c r="CS63" s="149" t="s">
        <v>307</v>
      </c>
      <c r="CT63" s="145" t="e">
        <v>#DIV/0!</v>
      </c>
      <c r="CU63" s="147">
        <v>0</v>
      </c>
      <c r="CW63" s="43">
        <f>'[4]Skolēnu Pils'!CW63+'[4]Laimīte'!CW63+'[4]Daugmale'!CW63+'[4]Altona'!CW63+'[4]Šaha'!CW63+'[4]BSKR_Rīga'!CW63</f>
        <v>0</v>
      </c>
      <c r="CX63" s="4" t="s">
        <v>307</v>
      </c>
      <c r="CY63" s="43" t="e">
        <f t="shared" si="28"/>
        <v>#DIV/0!</v>
      </c>
      <c r="CZ63" s="139">
        <f>'[4]Skolēnu Pils'!CZ63+'[4]Laimīte'!CZ63+'[4]Daugmale'!CZ63+'[4]Altona'!CZ63+'[4]Šaha'!CZ63+'[4]BSKR_Rīga'!CZ63</f>
        <v>0</v>
      </c>
      <c r="DB63" s="152">
        <v>1</v>
      </c>
      <c r="DC63" s="149" t="s">
        <v>307</v>
      </c>
      <c r="DD63" s="145">
        <v>723</v>
      </c>
      <c r="DE63" s="152">
        <v>723</v>
      </c>
      <c r="DG63" s="160">
        <v>0</v>
      </c>
      <c r="DH63" s="160" t="s">
        <v>307</v>
      </c>
      <c r="DI63" s="160" t="e">
        <v>#DIV/0!</v>
      </c>
      <c r="DJ63" s="160">
        <v>0</v>
      </c>
      <c r="DL63" s="42"/>
      <c r="DM63" s="4" t="s">
        <v>307</v>
      </c>
      <c r="DN63" s="43" t="e">
        <f t="shared" si="29"/>
        <v>#DIV/0!</v>
      </c>
      <c r="DO63" s="52"/>
      <c r="DQ63" s="42"/>
      <c r="DR63" s="4" t="s">
        <v>307</v>
      </c>
      <c r="DS63" s="43" t="e">
        <f t="shared" si="30"/>
        <v>#DIV/0!</v>
      </c>
      <c r="DT63" s="52"/>
    </row>
    <row r="64" spans="1:124" ht="33">
      <c r="A64" s="5" t="s">
        <v>114</v>
      </c>
      <c r="B64" s="5" t="s">
        <v>5</v>
      </c>
      <c r="C64" s="7" t="s">
        <v>128</v>
      </c>
      <c r="D64" s="43">
        <f t="shared" si="25"/>
        <v>0.5</v>
      </c>
      <c r="E64" s="5" t="s">
        <v>307</v>
      </c>
      <c r="F64" s="43">
        <f t="shared" si="26"/>
        <v>1010</v>
      </c>
      <c r="G64" s="59">
        <f t="shared" si="57"/>
        <v>800</v>
      </c>
      <c r="J64" s="52"/>
      <c r="K64" s="52"/>
      <c r="L64" s="77" t="e">
        <f t="shared" si="58"/>
        <v>#DIV/0!</v>
      </c>
      <c r="M64" s="52"/>
      <c r="N64" s="52"/>
      <c r="O64" s="52" t="e">
        <f t="shared" si="59"/>
        <v>#DIV/0!</v>
      </c>
      <c r="P64" s="52"/>
      <c r="Q64" s="52"/>
      <c r="R64" s="52" t="e">
        <f t="shared" si="60"/>
        <v>#DIV/0!</v>
      </c>
      <c r="S64" s="52"/>
      <c r="T64" s="52"/>
      <c r="U64" s="52" t="e">
        <f t="shared" si="61"/>
        <v>#DIV/0!</v>
      </c>
      <c r="V64" s="52"/>
      <c r="W64" s="52"/>
      <c r="X64" s="52" t="e">
        <f t="shared" si="62"/>
        <v>#DIV/0!</v>
      </c>
      <c r="Y64" s="52"/>
      <c r="Z64" s="52"/>
      <c r="AA64" s="52" t="e">
        <f t="shared" si="63"/>
        <v>#DIV/0!</v>
      </c>
      <c r="AB64" s="52"/>
      <c r="AC64" s="52"/>
      <c r="AD64" s="52" t="e">
        <f t="shared" si="64"/>
        <v>#DIV/0!</v>
      </c>
      <c r="AE64" s="52"/>
      <c r="AF64" s="52"/>
      <c r="AG64" s="52" t="e">
        <f t="shared" si="65"/>
        <v>#DIV/0!</v>
      </c>
      <c r="AH64" s="52"/>
      <c r="AI64" s="52"/>
      <c r="AJ64" s="52" t="e">
        <f t="shared" si="66"/>
        <v>#DIV/0!</v>
      </c>
      <c r="AK64" s="52"/>
      <c r="AL64" s="52"/>
      <c r="AM64" s="52" t="e">
        <f t="shared" si="67"/>
        <v>#DIV/0!</v>
      </c>
      <c r="AN64" s="52"/>
      <c r="AO64" s="52"/>
      <c r="AP64" s="52" t="e">
        <f t="shared" si="68"/>
        <v>#DIV/0!</v>
      </c>
      <c r="AQ64" s="52"/>
      <c r="AR64" s="52"/>
      <c r="AS64" s="52" t="e">
        <f t="shared" si="69"/>
        <v>#DIV/0!</v>
      </c>
      <c r="AT64" s="52"/>
      <c r="AU64" s="52"/>
      <c r="AV64" s="52" t="e">
        <f t="shared" si="70"/>
        <v>#DIV/0!</v>
      </c>
      <c r="AW64" s="52"/>
      <c r="AX64" s="52"/>
      <c r="AY64" s="52" t="e">
        <f t="shared" si="71"/>
        <v>#DIV/0!</v>
      </c>
      <c r="AZ64" s="52"/>
      <c r="BA64" s="52"/>
      <c r="BB64" s="52" t="e">
        <f t="shared" si="72"/>
        <v>#DIV/0!</v>
      </c>
      <c r="BC64" s="52">
        <v>1</v>
      </c>
      <c r="BD64" s="52">
        <f>800</f>
        <v>800</v>
      </c>
      <c r="BE64" s="52">
        <f t="shared" si="73"/>
        <v>800</v>
      </c>
      <c r="BF64" s="52"/>
      <c r="BG64" s="52"/>
      <c r="BH64" s="52" t="e">
        <f t="shared" si="74"/>
        <v>#DIV/0!</v>
      </c>
      <c r="BI64" s="52"/>
      <c r="BJ64" s="52"/>
      <c r="BK64" s="52" t="e">
        <f t="shared" si="75"/>
        <v>#DIV/0!</v>
      </c>
      <c r="BL64" s="52"/>
      <c r="BM64" s="52"/>
      <c r="BN64" s="52" t="e">
        <f t="shared" si="76"/>
        <v>#DIV/0!</v>
      </c>
      <c r="BO64" s="52"/>
      <c r="BP64" s="52"/>
      <c r="BQ64" s="52" t="e">
        <f t="shared" si="77"/>
        <v>#DIV/0!</v>
      </c>
      <c r="BR64" s="52"/>
      <c r="BS64" s="52"/>
      <c r="BT64" s="52" t="e">
        <f t="shared" si="78"/>
        <v>#DIV/0!</v>
      </c>
      <c r="BU64" s="52"/>
      <c r="BV64" s="52"/>
      <c r="BW64" s="52" t="e">
        <f t="shared" si="79"/>
        <v>#DIV/0!</v>
      </c>
      <c r="BX64" s="52"/>
      <c r="BY64" s="52"/>
      <c r="BZ64" s="52" t="e">
        <f t="shared" si="80"/>
        <v>#DIV/0!</v>
      </c>
      <c r="CA64" s="52"/>
      <c r="CB64" s="52"/>
      <c r="CC64" s="52" t="e">
        <f t="shared" si="81"/>
        <v>#DIV/0!</v>
      </c>
      <c r="CD64" s="33"/>
      <c r="CH64" s="59">
        <f t="shared" si="82"/>
        <v>0</v>
      </c>
      <c r="CP64" s="80">
        <f t="shared" si="27"/>
        <v>505</v>
      </c>
      <c r="CR64" s="145">
        <v>0</v>
      </c>
      <c r="CS64" s="149" t="s">
        <v>307</v>
      </c>
      <c r="CT64" s="145" t="e">
        <v>#DIV/0!</v>
      </c>
      <c r="CU64" s="147">
        <v>0</v>
      </c>
      <c r="CW64" s="43">
        <f>'[4]Skolēnu Pils'!CW64+'[4]Laimīte'!CW64+'[4]Daugmale'!CW64+'[4]Altona'!CW64+'[4]Šaha'!CW64+'[4]BSKR_Rīga'!CW64</f>
        <v>0</v>
      </c>
      <c r="CX64" s="5" t="s">
        <v>307</v>
      </c>
      <c r="CY64" s="43" t="e">
        <f t="shared" si="28"/>
        <v>#DIV/0!</v>
      </c>
      <c r="CZ64" s="139">
        <f>'[4]Skolēnu Pils'!CZ64+'[4]Laimīte'!CZ64+'[4]Daugmale'!CZ64+'[4]Altona'!CZ64+'[4]Šaha'!CZ64+'[4]BSKR_Rīga'!CZ64</f>
        <v>0</v>
      </c>
      <c r="DB64" s="152">
        <v>0</v>
      </c>
      <c r="DC64" s="149" t="s">
        <v>307</v>
      </c>
      <c r="DD64" s="145" t="e">
        <v>#DIV/0!</v>
      </c>
      <c r="DE64" s="152">
        <v>0</v>
      </c>
      <c r="DG64" s="160">
        <v>0.5</v>
      </c>
      <c r="DH64" s="160" t="s">
        <v>307</v>
      </c>
      <c r="DI64" s="160">
        <v>1010</v>
      </c>
      <c r="DJ64" s="160">
        <v>505</v>
      </c>
      <c r="DL64" s="42"/>
      <c r="DM64" s="5" t="s">
        <v>307</v>
      </c>
      <c r="DN64" s="43" t="e">
        <f t="shared" si="29"/>
        <v>#DIV/0!</v>
      </c>
      <c r="DO64" s="52"/>
      <c r="DQ64" s="42"/>
      <c r="DR64" s="5" t="s">
        <v>307</v>
      </c>
      <c r="DS64" s="43" t="e">
        <f t="shared" si="30"/>
        <v>#DIV/0!</v>
      </c>
      <c r="DT64" s="52"/>
    </row>
    <row r="65" spans="1:124" ht="33">
      <c r="A65" s="3" t="s">
        <v>29</v>
      </c>
      <c r="B65" s="4" t="s">
        <v>65</v>
      </c>
      <c r="C65" s="11" t="s">
        <v>72</v>
      </c>
      <c r="D65" s="43">
        <f t="shared" si="25"/>
        <v>3.25</v>
      </c>
      <c r="E65" s="2" t="s">
        <v>315</v>
      </c>
      <c r="F65" s="43">
        <f t="shared" si="26"/>
        <v>473.38461538461536</v>
      </c>
      <c r="G65" s="59">
        <f t="shared" si="57"/>
        <v>1335</v>
      </c>
      <c r="J65" s="52"/>
      <c r="K65" s="52"/>
      <c r="L65" s="77" t="e">
        <f t="shared" si="58"/>
        <v>#DIV/0!</v>
      </c>
      <c r="M65" s="52"/>
      <c r="N65" s="52"/>
      <c r="O65" s="52" t="e">
        <f t="shared" si="59"/>
        <v>#DIV/0!</v>
      </c>
      <c r="P65" s="52"/>
      <c r="Q65" s="52"/>
      <c r="R65" s="52" t="e">
        <f t="shared" si="60"/>
        <v>#DIV/0!</v>
      </c>
      <c r="S65" s="52"/>
      <c r="T65" s="52"/>
      <c r="U65" s="52" t="e">
        <f t="shared" si="61"/>
        <v>#DIV/0!</v>
      </c>
      <c r="V65" s="52">
        <f>0.5</f>
        <v>0.5</v>
      </c>
      <c r="W65" s="52">
        <f>230</f>
        <v>230</v>
      </c>
      <c r="X65" s="52">
        <f t="shared" si="62"/>
        <v>460</v>
      </c>
      <c r="Y65" s="52">
        <f>0.5</f>
        <v>0.5</v>
      </c>
      <c r="Z65" s="52">
        <f>190</f>
        <v>190</v>
      </c>
      <c r="AA65" s="52">
        <f t="shared" si="63"/>
        <v>380</v>
      </c>
      <c r="AB65" s="52">
        <f>0.5</f>
        <v>0.5</v>
      </c>
      <c r="AC65" s="52">
        <f>200</f>
        <v>200</v>
      </c>
      <c r="AD65" s="52">
        <f t="shared" si="64"/>
        <v>400</v>
      </c>
      <c r="AE65" s="52">
        <f>1</f>
        <v>1</v>
      </c>
      <c r="AF65" s="52">
        <f>430</f>
        <v>430</v>
      </c>
      <c r="AG65" s="52">
        <f t="shared" si="65"/>
        <v>430</v>
      </c>
      <c r="AH65" s="52"/>
      <c r="AI65" s="52"/>
      <c r="AJ65" s="52" t="e">
        <f t="shared" si="66"/>
        <v>#DIV/0!</v>
      </c>
      <c r="AK65" s="52"/>
      <c r="AL65" s="52"/>
      <c r="AM65" s="52" t="e">
        <f t="shared" si="67"/>
        <v>#DIV/0!</v>
      </c>
      <c r="AN65" s="52"/>
      <c r="AO65" s="52"/>
      <c r="AP65" s="52" t="e">
        <f t="shared" si="68"/>
        <v>#DIV/0!</v>
      </c>
      <c r="AQ65" s="52">
        <v>0.5</v>
      </c>
      <c r="AR65" s="52">
        <f>190</f>
        <v>190</v>
      </c>
      <c r="AS65" s="52">
        <f t="shared" si="69"/>
        <v>380</v>
      </c>
      <c r="AT65" s="52">
        <f>0.25</f>
        <v>0.25</v>
      </c>
      <c r="AU65" s="52">
        <f>95</f>
        <v>95</v>
      </c>
      <c r="AV65" s="52">
        <f t="shared" si="70"/>
        <v>380</v>
      </c>
      <c r="AW65" s="52"/>
      <c r="AX65" s="52"/>
      <c r="AY65" s="52" t="e">
        <f t="shared" si="71"/>
        <v>#DIV/0!</v>
      </c>
      <c r="AZ65" s="52"/>
      <c r="BA65" s="52"/>
      <c r="BB65" s="52" t="e">
        <f t="shared" si="72"/>
        <v>#DIV/0!</v>
      </c>
      <c r="BC65" s="52"/>
      <c r="BD65" s="52"/>
      <c r="BE65" s="52" t="e">
        <f t="shared" si="73"/>
        <v>#DIV/0!</v>
      </c>
      <c r="BF65" s="52"/>
      <c r="BG65" s="52"/>
      <c r="BH65" s="52" t="e">
        <f t="shared" si="74"/>
        <v>#DIV/0!</v>
      </c>
      <c r="BI65" s="52"/>
      <c r="BJ65" s="52"/>
      <c r="BK65" s="52" t="e">
        <f t="shared" si="75"/>
        <v>#DIV/0!</v>
      </c>
      <c r="BL65" s="52"/>
      <c r="BM65" s="52"/>
      <c r="BN65" s="52" t="e">
        <f t="shared" si="76"/>
        <v>#DIV/0!</v>
      </c>
      <c r="BO65" s="52"/>
      <c r="BP65" s="52"/>
      <c r="BQ65" s="52" t="e">
        <f t="shared" si="77"/>
        <v>#DIV/0!</v>
      </c>
      <c r="BR65" s="52"/>
      <c r="BS65" s="52"/>
      <c r="BT65" s="52" t="e">
        <f t="shared" si="78"/>
        <v>#DIV/0!</v>
      </c>
      <c r="BU65" s="52"/>
      <c r="BV65" s="52"/>
      <c r="BW65" s="52" t="e">
        <f t="shared" si="79"/>
        <v>#DIV/0!</v>
      </c>
      <c r="BX65" s="52"/>
      <c r="BY65" s="52"/>
      <c r="BZ65" s="52" t="e">
        <f t="shared" si="80"/>
        <v>#DIV/0!</v>
      </c>
      <c r="CA65" s="52"/>
      <c r="CB65" s="52"/>
      <c r="CC65" s="52" t="e">
        <f t="shared" si="81"/>
        <v>#DIV/0!</v>
      </c>
      <c r="CD65" s="33"/>
      <c r="CH65" s="59">
        <f t="shared" si="82"/>
        <v>0</v>
      </c>
      <c r="CP65" s="80">
        <f t="shared" si="27"/>
        <v>1538.5</v>
      </c>
      <c r="CR65" s="145">
        <v>0</v>
      </c>
      <c r="CS65" s="148" t="s">
        <v>315</v>
      </c>
      <c r="CT65" s="145" t="e">
        <v>#DIV/0!</v>
      </c>
      <c r="CU65" s="147">
        <v>0</v>
      </c>
      <c r="CW65" s="43">
        <f>'[4]Skolēnu Pils'!CW65+'[4]Laimīte'!CW65+'[4]Daugmale'!CW65+'[4]Altona'!CW65+'[4]Šaha'!CW65+'[4]BSKR_Rīga'!CW65</f>
        <v>0</v>
      </c>
      <c r="CX65" s="2" t="s">
        <v>315</v>
      </c>
      <c r="CY65" s="43" t="e">
        <f t="shared" si="28"/>
        <v>#DIV/0!</v>
      </c>
      <c r="CZ65" s="139">
        <f>'[4]Skolēnu Pils'!CZ65+'[4]Laimīte'!CZ65+'[4]Daugmale'!CZ65+'[4]Altona'!CZ65+'[4]Šaha'!CZ65+'[4]BSKR_Rīga'!CZ65</f>
        <v>0</v>
      </c>
      <c r="DB65" s="152">
        <v>3.25</v>
      </c>
      <c r="DC65" s="148" t="s">
        <v>315</v>
      </c>
      <c r="DD65" s="145">
        <v>473.38461538461536</v>
      </c>
      <c r="DE65" s="152">
        <v>1538.5</v>
      </c>
      <c r="DG65" s="160">
        <v>0</v>
      </c>
      <c r="DH65" s="160" t="s">
        <v>315</v>
      </c>
      <c r="DI65" s="160" t="e">
        <v>#DIV/0!</v>
      </c>
      <c r="DJ65" s="160">
        <v>0</v>
      </c>
      <c r="DL65" s="42"/>
      <c r="DM65" s="2" t="s">
        <v>315</v>
      </c>
      <c r="DN65" s="43" t="e">
        <f t="shared" si="29"/>
        <v>#DIV/0!</v>
      </c>
      <c r="DO65" s="52"/>
      <c r="DQ65" s="42"/>
      <c r="DR65" s="2" t="s">
        <v>315</v>
      </c>
      <c r="DS65" s="43" t="e">
        <f t="shared" si="30"/>
        <v>#DIV/0!</v>
      </c>
      <c r="DT65" s="52"/>
    </row>
    <row r="66" spans="1:124" ht="17.25">
      <c r="A66" s="3" t="s">
        <v>8</v>
      </c>
      <c r="B66" s="4" t="s">
        <v>5</v>
      </c>
      <c r="C66" s="6" t="s">
        <v>15</v>
      </c>
      <c r="D66" s="43">
        <f t="shared" si="25"/>
        <v>0.75</v>
      </c>
      <c r="E66" s="8" t="s">
        <v>316</v>
      </c>
      <c r="F66" s="43">
        <f t="shared" si="26"/>
        <v>522</v>
      </c>
      <c r="G66" s="59">
        <f t="shared" si="57"/>
        <v>685</v>
      </c>
      <c r="J66" s="52"/>
      <c r="K66" s="52"/>
      <c r="L66" s="77" t="e">
        <f t="shared" si="58"/>
        <v>#DIV/0!</v>
      </c>
      <c r="M66" s="52"/>
      <c r="N66" s="52"/>
      <c r="O66" s="52" t="e">
        <f t="shared" si="59"/>
        <v>#DIV/0!</v>
      </c>
      <c r="P66" s="52"/>
      <c r="Q66" s="52"/>
      <c r="R66" s="52" t="e">
        <f t="shared" si="60"/>
        <v>#DIV/0!</v>
      </c>
      <c r="S66" s="52"/>
      <c r="T66" s="52"/>
      <c r="U66" s="52" t="e">
        <f t="shared" si="61"/>
        <v>#DIV/0!</v>
      </c>
      <c r="V66" s="52"/>
      <c r="W66" s="52"/>
      <c r="X66" s="52" t="e">
        <f t="shared" si="62"/>
        <v>#DIV/0!</v>
      </c>
      <c r="Y66" s="52"/>
      <c r="Z66" s="52"/>
      <c r="AA66" s="52" t="e">
        <f t="shared" si="63"/>
        <v>#DIV/0!</v>
      </c>
      <c r="AB66" s="52">
        <f>1</f>
        <v>1</v>
      </c>
      <c r="AC66" s="52">
        <f>400</f>
        <v>400</v>
      </c>
      <c r="AD66" s="52">
        <f t="shared" si="64"/>
        <v>400</v>
      </c>
      <c r="AE66" s="52"/>
      <c r="AF66" s="52"/>
      <c r="AG66" s="52" t="e">
        <f t="shared" si="65"/>
        <v>#DIV/0!</v>
      </c>
      <c r="AH66" s="52"/>
      <c r="AI66" s="52"/>
      <c r="AJ66" s="52" t="e">
        <f t="shared" si="66"/>
        <v>#DIV/0!</v>
      </c>
      <c r="AK66" s="52">
        <f>0.75</f>
        <v>0.75</v>
      </c>
      <c r="AL66" s="52">
        <f>285</f>
        <v>285</v>
      </c>
      <c r="AM66" s="52">
        <f t="shared" si="67"/>
        <v>380</v>
      </c>
      <c r="AN66" s="52"/>
      <c r="AO66" s="52"/>
      <c r="AP66" s="52" t="e">
        <f t="shared" si="68"/>
        <v>#DIV/0!</v>
      </c>
      <c r="AQ66" s="52"/>
      <c r="AR66" s="52"/>
      <c r="AS66" s="52" t="e">
        <f t="shared" si="69"/>
        <v>#DIV/0!</v>
      </c>
      <c r="AT66" s="52"/>
      <c r="AU66" s="52"/>
      <c r="AV66" s="52" t="e">
        <f t="shared" si="70"/>
        <v>#DIV/0!</v>
      </c>
      <c r="AW66" s="52"/>
      <c r="AX66" s="52"/>
      <c r="AY66" s="52" t="e">
        <f t="shared" si="71"/>
        <v>#DIV/0!</v>
      </c>
      <c r="AZ66" s="52"/>
      <c r="BA66" s="52"/>
      <c r="BB66" s="52" t="e">
        <f t="shared" si="72"/>
        <v>#DIV/0!</v>
      </c>
      <c r="BC66" s="52"/>
      <c r="BD66" s="52"/>
      <c r="BE66" s="52" t="e">
        <f t="shared" si="73"/>
        <v>#DIV/0!</v>
      </c>
      <c r="BF66" s="52"/>
      <c r="BG66" s="52"/>
      <c r="BH66" s="52" t="e">
        <f t="shared" si="74"/>
        <v>#DIV/0!</v>
      </c>
      <c r="BI66" s="52"/>
      <c r="BJ66" s="52"/>
      <c r="BK66" s="52" t="e">
        <f t="shared" si="75"/>
        <v>#DIV/0!</v>
      </c>
      <c r="BL66" s="52"/>
      <c r="BM66" s="52"/>
      <c r="BN66" s="52" t="e">
        <f t="shared" si="76"/>
        <v>#DIV/0!</v>
      </c>
      <c r="BO66" s="52"/>
      <c r="BP66" s="52"/>
      <c r="BQ66" s="52" t="e">
        <f t="shared" si="77"/>
        <v>#DIV/0!</v>
      </c>
      <c r="BR66" s="52"/>
      <c r="BS66" s="52"/>
      <c r="BT66" s="52" t="e">
        <f t="shared" si="78"/>
        <v>#DIV/0!</v>
      </c>
      <c r="BU66" s="52"/>
      <c r="BV66" s="52"/>
      <c r="BW66" s="52" t="e">
        <f t="shared" si="79"/>
        <v>#DIV/0!</v>
      </c>
      <c r="BX66" s="52"/>
      <c r="BY66" s="52"/>
      <c r="BZ66" s="52" t="e">
        <f t="shared" si="80"/>
        <v>#DIV/0!</v>
      </c>
      <c r="CA66" s="52"/>
      <c r="CB66" s="52"/>
      <c r="CC66" s="52" t="e">
        <f t="shared" si="81"/>
        <v>#DIV/0!</v>
      </c>
      <c r="CD66" s="33"/>
      <c r="CG66" s="59">
        <f>CF66*CH66</f>
        <v>0</v>
      </c>
      <c r="CP66" s="80">
        <f t="shared" si="27"/>
        <v>391.5</v>
      </c>
      <c r="CR66" s="145">
        <v>0</v>
      </c>
      <c r="CS66" s="146" t="s">
        <v>316</v>
      </c>
      <c r="CT66" s="145" t="e">
        <v>#DIV/0!</v>
      </c>
      <c r="CU66" s="147">
        <v>0</v>
      </c>
      <c r="CW66" s="43">
        <f>'[4]Skolēnu Pils'!CW66+'[4]Laimīte'!CW66+'[4]Daugmale'!CW66+'[4]Altona'!CW66+'[4]Šaha'!CW66+'[4]BSKR_Rīga'!CW66</f>
        <v>0</v>
      </c>
      <c r="CX66" s="8" t="s">
        <v>316</v>
      </c>
      <c r="CY66" s="43" t="e">
        <f t="shared" si="28"/>
        <v>#DIV/0!</v>
      </c>
      <c r="CZ66" s="139">
        <f>'[4]Skolēnu Pils'!CZ66+'[4]Laimīte'!CZ66+'[4]Daugmale'!CZ66+'[4]Altona'!CZ66+'[4]Šaha'!CZ66+'[4]BSKR_Rīga'!CZ66</f>
        <v>0</v>
      </c>
      <c r="DB66" s="152">
        <v>0.75</v>
      </c>
      <c r="DC66" s="146" t="s">
        <v>316</v>
      </c>
      <c r="DD66" s="145">
        <v>522</v>
      </c>
      <c r="DE66" s="152">
        <v>391.5</v>
      </c>
      <c r="DG66" s="160">
        <v>0</v>
      </c>
      <c r="DH66" s="160" t="s">
        <v>316</v>
      </c>
      <c r="DI66" s="160" t="e">
        <v>#DIV/0!</v>
      </c>
      <c r="DJ66" s="160">
        <v>0</v>
      </c>
      <c r="DL66" s="42"/>
      <c r="DM66" s="8" t="s">
        <v>316</v>
      </c>
      <c r="DN66" s="43" t="e">
        <f t="shared" si="29"/>
        <v>#DIV/0!</v>
      </c>
      <c r="DO66" s="52"/>
      <c r="DQ66" s="42"/>
      <c r="DR66" s="8" t="s">
        <v>316</v>
      </c>
      <c r="DS66" s="43" t="e">
        <f t="shared" si="30"/>
        <v>#DIV/0!</v>
      </c>
      <c r="DT66" s="52"/>
    </row>
    <row r="67" spans="1:124" ht="33">
      <c r="A67" s="3" t="s">
        <v>9</v>
      </c>
      <c r="B67" s="4" t="s">
        <v>4</v>
      </c>
      <c r="C67" s="6" t="s">
        <v>16</v>
      </c>
      <c r="D67" s="43">
        <f t="shared" si="25"/>
        <v>11</v>
      </c>
      <c r="E67" s="2" t="s">
        <v>309</v>
      </c>
      <c r="F67" s="43">
        <f t="shared" si="26"/>
        <v>668.1818181818181</v>
      </c>
      <c r="G67" s="59">
        <f t="shared" si="57"/>
        <v>5684</v>
      </c>
      <c r="J67" s="52">
        <f>1+1</f>
        <v>2</v>
      </c>
      <c r="K67" s="52">
        <f>451+451</f>
        <v>902</v>
      </c>
      <c r="L67" s="77">
        <f t="shared" si="58"/>
        <v>451</v>
      </c>
      <c r="M67" s="52"/>
      <c r="N67" s="52"/>
      <c r="O67" s="52" t="e">
        <f t="shared" si="59"/>
        <v>#DIV/0!</v>
      </c>
      <c r="P67" s="52"/>
      <c r="Q67" s="52"/>
      <c r="R67" s="52" t="e">
        <f t="shared" si="60"/>
        <v>#DIV/0!</v>
      </c>
      <c r="S67" s="52"/>
      <c r="T67" s="52"/>
      <c r="U67" s="52" t="e">
        <f t="shared" si="61"/>
        <v>#DIV/0!</v>
      </c>
      <c r="V67" s="52"/>
      <c r="W67" s="52"/>
      <c r="X67" s="52" t="e">
        <f t="shared" si="62"/>
        <v>#DIV/0!</v>
      </c>
      <c r="Y67" s="52">
        <f>1</f>
        <v>1</v>
      </c>
      <c r="Z67" s="52">
        <f>629</f>
        <v>629</v>
      </c>
      <c r="AA67" s="52">
        <f t="shared" si="63"/>
        <v>629</v>
      </c>
      <c r="AB67" s="52"/>
      <c r="AC67" s="52"/>
      <c r="AD67" s="52" t="e">
        <f t="shared" si="64"/>
        <v>#DIV/0!</v>
      </c>
      <c r="AE67" s="52"/>
      <c r="AF67" s="52"/>
      <c r="AG67" s="52" t="e">
        <f t="shared" si="65"/>
        <v>#DIV/0!</v>
      </c>
      <c r="AH67" s="52"/>
      <c r="AI67" s="52"/>
      <c r="AJ67" s="52" t="e">
        <f t="shared" si="66"/>
        <v>#DIV/0!</v>
      </c>
      <c r="AK67" s="52"/>
      <c r="AL67" s="52"/>
      <c r="AM67" s="52" t="e">
        <f t="shared" si="67"/>
        <v>#DIV/0!</v>
      </c>
      <c r="AN67" s="52"/>
      <c r="AO67" s="52"/>
      <c r="AP67" s="52" t="e">
        <f t="shared" si="68"/>
        <v>#DIV/0!</v>
      </c>
      <c r="AQ67" s="52">
        <f>1</f>
        <v>1</v>
      </c>
      <c r="AR67" s="52">
        <f>600</f>
        <v>600</v>
      </c>
      <c r="AS67" s="52">
        <f t="shared" si="69"/>
        <v>600</v>
      </c>
      <c r="AT67" s="52"/>
      <c r="AU67" s="52"/>
      <c r="AV67" s="52" t="e">
        <f t="shared" si="70"/>
        <v>#DIV/0!</v>
      </c>
      <c r="AW67" s="52"/>
      <c r="AX67" s="52"/>
      <c r="AY67" s="52" t="e">
        <f t="shared" si="71"/>
        <v>#DIV/0!</v>
      </c>
      <c r="AZ67" s="52"/>
      <c r="BA67" s="52"/>
      <c r="BB67" s="52" t="e">
        <f t="shared" si="72"/>
        <v>#DIV/0!</v>
      </c>
      <c r="BC67" s="52">
        <v>1</v>
      </c>
      <c r="BD67" s="52">
        <f>660</f>
        <v>660</v>
      </c>
      <c r="BE67" s="52">
        <f t="shared" si="73"/>
        <v>660</v>
      </c>
      <c r="BF67" s="52">
        <f>3</f>
        <v>3</v>
      </c>
      <c r="BG67" s="52">
        <f>2*661+486</f>
        <v>1808</v>
      </c>
      <c r="BH67" s="52">
        <f t="shared" si="74"/>
        <v>602.6666666666666</v>
      </c>
      <c r="BI67" s="52"/>
      <c r="BJ67" s="52"/>
      <c r="BK67" s="52" t="e">
        <f t="shared" si="75"/>
        <v>#DIV/0!</v>
      </c>
      <c r="BL67" s="52"/>
      <c r="BM67" s="52"/>
      <c r="BN67" s="52" t="e">
        <f t="shared" si="76"/>
        <v>#DIV/0!</v>
      </c>
      <c r="BO67" s="52">
        <v>1</v>
      </c>
      <c r="BP67" s="52">
        <f>590</f>
        <v>590</v>
      </c>
      <c r="BQ67" s="52">
        <f t="shared" si="77"/>
        <v>590</v>
      </c>
      <c r="BR67" s="52"/>
      <c r="BS67" s="52"/>
      <c r="BT67" s="52" t="e">
        <f t="shared" si="78"/>
        <v>#DIV/0!</v>
      </c>
      <c r="BU67" s="52">
        <f>1</f>
        <v>1</v>
      </c>
      <c r="BV67" s="52">
        <f>495</f>
        <v>495</v>
      </c>
      <c r="BW67" s="52">
        <f t="shared" si="79"/>
        <v>495</v>
      </c>
      <c r="BX67" s="52"/>
      <c r="BY67" s="52"/>
      <c r="BZ67" s="52" t="e">
        <f t="shared" si="80"/>
        <v>#DIV/0!</v>
      </c>
      <c r="CA67" s="52"/>
      <c r="CB67" s="52"/>
      <c r="CC67" s="52" t="e">
        <f t="shared" si="81"/>
        <v>#DIV/0!</v>
      </c>
      <c r="CD67" s="33"/>
      <c r="CG67" s="59">
        <f>CF67*CH67</f>
        <v>0</v>
      </c>
      <c r="CP67" s="80">
        <f t="shared" si="27"/>
        <v>7350</v>
      </c>
      <c r="CR67" s="145">
        <v>4</v>
      </c>
      <c r="CS67" s="148" t="s">
        <v>309</v>
      </c>
      <c r="CT67" s="145">
        <v>575</v>
      </c>
      <c r="CU67" s="147">
        <v>2300</v>
      </c>
      <c r="CW67" s="43">
        <f>'[4]Skolēnu Pils'!CW67+'[4]Laimīte'!CW67+'[4]Daugmale'!CW67+'[4]Altona'!CW67+'[4]Šaha'!CW67+'[4]BSKR_Rīga'!CW67</f>
        <v>0</v>
      </c>
      <c r="CX67" s="2" t="s">
        <v>309</v>
      </c>
      <c r="CY67" s="43" t="e">
        <f t="shared" si="28"/>
        <v>#DIV/0!</v>
      </c>
      <c r="CZ67" s="139">
        <f>'[4]Skolēnu Pils'!CZ67+'[4]Laimīte'!CZ67+'[4]Daugmale'!CZ67+'[4]Altona'!CZ67+'[4]Šaha'!CZ67+'[4]BSKR_Rīga'!CZ67</f>
        <v>0</v>
      </c>
      <c r="DB67" s="152">
        <v>1</v>
      </c>
      <c r="DC67" s="148" t="s">
        <v>309</v>
      </c>
      <c r="DD67" s="145">
        <v>676</v>
      </c>
      <c r="DE67" s="152">
        <v>676</v>
      </c>
      <c r="DG67" s="160">
        <v>6</v>
      </c>
      <c r="DH67" s="160" t="s">
        <v>309</v>
      </c>
      <c r="DI67" s="160">
        <v>729</v>
      </c>
      <c r="DJ67" s="160">
        <v>4374</v>
      </c>
      <c r="DL67" s="42"/>
      <c r="DM67" s="2" t="s">
        <v>309</v>
      </c>
      <c r="DN67" s="43" t="e">
        <f t="shared" si="29"/>
        <v>#DIV/0!</v>
      </c>
      <c r="DO67" s="52"/>
      <c r="DQ67" s="42"/>
      <c r="DR67" s="2" t="s">
        <v>309</v>
      </c>
      <c r="DS67" s="43" t="e">
        <f t="shared" si="30"/>
        <v>#DIV/0!</v>
      </c>
      <c r="DT67" s="52"/>
    </row>
    <row r="68" spans="1:124" ht="33">
      <c r="A68" s="3" t="s">
        <v>9</v>
      </c>
      <c r="B68" s="4" t="s">
        <v>10</v>
      </c>
      <c r="C68" s="6" t="s">
        <v>17</v>
      </c>
      <c r="D68" s="43">
        <f t="shared" si="25"/>
        <v>3</v>
      </c>
      <c r="E68" s="2" t="s">
        <v>309</v>
      </c>
      <c r="F68" s="43">
        <f t="shared" si="26"/>
        <v>745</v>
      </c>
      <c r="G68" s="59">
        <f t="shared" si="57"/>
        <v>1192</v>
      </c>
      <c r="J68" s="52"/>
      <c r="K68" s="52"/>
      <c r="L68" s="77" t="e">
        <f t="shared" si="58"/>
        <v>#DIV/0!</v>
      </c>
      <c r="M68" s="52"/>
      <c r="N68" s="52"/>
      <c r="O68" s="52" t="e">
        <f t="shared" si="59"/>
        <v>#DIV/0!</v>
      </c>
      <c r="P68" s="52"/>
      <c r="Q68" s="52"/>
      <c r="R68" s="52" t="e">
        <f t="shared" si="60"/>
        <v>#DIV/0!</v>
      </c>
      <c r="S68" s="52"/>
      <c r="T68" s="52"/>
      <c r="U68" s="52" t="e">
        <f t="shared" si="61"/>
        <v>#DIV/0!</v>
      </c>
      <c r="V68" s="52"/>
      <c r="W68" s="52"/>
      <c r="X68" s="52" t="e">
        <f t="shared" si="62"/>
        <v>#DIV/0!</v>
      </c>
      <c r="Y68" s="52"/>
      <c r="Z68" s="52"/>
      <c r="AA68" s="52" t="e">
        <f t="shared" si="63"/>
        <v>#DIV/0!</v>
      </c>
      <c r="AB68" s="52"/>
      <c r="AC68" s="52"/>
      <c r="AD68" s="52" t="e">
        <f t="shared" si="64"/>
        <v>#DIV/0!</v>
      </c>
      <c r="AE68" s="52"/>
      <c r="AF68" s="52"/>
      <c r="AG68" s="52" t="e">
        <f t="shared" si="65"/>
        <v>#DIV/0!</v>
      </c>
      <c r="AH68" s="52"/>
      <c r="AI68" s="52"/>
      <c r="AJ68" s="52" t="e">
        <f t="shared" si="66"/>
        <v>#DIV/0!</v>
      </c>
      <c r="AK68" s="52"/>
      <c r="AL68" s="52"/>
      <c r="AM68" s="52" t="e">
        <f t="shared" si="67"/>
        <v>#DIV/0!</v>
      </c>
      <c r="AN68" s="52"/>
      <c r="AO68" s="52"/>
      <c r="AP68" s="52" t="e">
        <f t="shared" si="68"/>
        <v>#DIV/0!</v>
      </c>
      <c r="AQ68" s="52"/>
      <c r="AR68" s="52"/>
      <c r="AS68" s="52" t="e">
        <f t="shared" si="69"/>
        <v>#DIV/0!</v>
      </c>
      <c r="AT68" s="52"/>
      <c r="AU68" s="52"/>
      <c r="AV68" s="52" t="e">
        <f t="shared" si="70"/>
        <v>#DIV/0!</v>
      </c>
      <c r="AW68" s="52"/>
      <c r="AX68" s="52"/>
      <c r="AY68" s="52" t="e">
        <f t="shared" si="71"/>
        <v>#DIV/0!</v>
      </c>
      <c r="AZ68" s="52"/>
      <c r="BA68" s="52"/>
      <c r="BB68" s="52" t="e">
        <f t="shared" si="72"/>
        <v>#DIV/0!</v>
      </c>
      <c r="BC68" s="52"/>
      <c r="BD68" s="52"/>
      <c r="BE68" s="52" t="e">
        <f t="shared" si="73"/>
        <v>#DIV/0!</v>
      </c>
      <c r="BF68" s="52"/>
      <c r="BG68" s="52"/>
      <c r="BH68" s="52" t="e">
        <f t="shared" si="74"/>
        <v>#DIV/0!</v>
      </c>
      <c r="BI68" s="52"/>
      <c r="BJ68" s="52"/>
      <c r="BK68" s="52" t="e">
        <f t="shared" si="75"/>
        <v>#DIV/0!</v>
      </c>
      <c r="BL68" s="52"/>
      <c r="BM68" s="52"/>
      <c r="BN68" s="52" t="e">
        <f t="shared" si="76"/>
        <v>#DIV/0!</v>
      </c>
      <c r="BO68" s="52"/>
      <c r="BP68" s="52"/>
      <c r="BQ68" s="52" t="e">
        <f t="shared" si="77"/>
        <v>#DIV/0!</v>
      </c>
      <c r="BR68" s="52"/>
      <c r="BS68" s="52"/>
      <c r="BT68" s="52" t="e">
        <f t="shared" si="78"/>
        <v>#DIV/0!</v>
      </c>
      <c r="BU68" s="52"/>
      <c r="BV68" s="52"/>
      <c r="BW68" s="52" t="e">
        <f t="shared" si="79"/>
        <v>#DIV/0!</v>
      </c>
      <c r="BX68" s="52">
        <f>1</f>
        <v>1</v>
      </c>
      <c r="BY68" s="52">
        <f>531</f>
        <v>531</v>
      </c>
      <c r="BZ68" s="52">
        <f t="shared" si="80"/>
        <v>531</v>
      </c>
      <c r="CA68" s="52">
        <f>1</f>
        <v>1</v>
      </c>
      <c r="CB68" s="52">
        <f>661</f>
        <v>661</v>
      </c>
      <c r="CC68" s="52">
        <f t="shared" si="81"/>
        <v>661</v>
      </c>
      <c r="CD68" s="33"/>
      <c r="CG68" s="59">
        <f>CF68*CH68</f>
        <v>0</v>
      </c>
      <c r="CP68" s="80">
        <f t="shared" si="27"/>
        <v>2235</v>
      </c>
      <c r="CR68" s="145">
        <v>1</v>
      </c>
      <c r="CS68" s="148" t="s">
        <v>309</v>
      </c>
      <c r="CT68" s="145">
        <v>814</v>
      </c>
      <c r="CU68" s="147">
        <v>814</v>
      </c>
      <c r="CW68" s="43">
        <f>'[4]Skolēnu Pils'!CW68+'[4]Laimīte'!CW68+'[4]Daugmale'!CW68+'[4]Altona'!CW68+'[4]Šaha'!CW68+'[4]BSKR_Rīga'!CW68</f>
        <v>0</v>
      </c>
      <c r="CX68" s="2" t="s">
        <v>309</v>
      </c>
      <c r="CY68" s="43" t="e">
        <f t="shared" si="28"/>
        <v>#DIV/0!</v>
      </c>
      <c r="CZ68" s="139">
        <f>'[4]Skolēnu Pils'!CZ68+'[4]Laimīte'!CZ68+'[4]Daugmale'!CZ68+'[4]Altona'!CZ68+'[4]Šaha'!CZ68+'[4]BSKR_Rīga'!CZ68</f>
        <v>0</v>
      </c>
      <c r="DB68" s="152">
        <v>0</v>
      </c>
      <c r="DC68" s="148" t="s">
        <v>309</v>
      </c>
      <c r="DD68" s="145" t="e">
        <v>#DIV/0!</v>
      </c>
      <c r="DE68" s="152">
        <v>0</v>
      </c>
      <c r="DG68" s="160">
        <v>2</v>
      </c>
      <c r="DH68" s="160" t="s">
        <v>309</v>
      </c>
      <c r="DI68" s="160">
        <v>710.5</v>
      </c>
      <c r="DJ68" s="160">
        <v>1421</v>
      </c>
      <c r="DL68" s="42"/>
      <c r="DM68" s="2" t="s">
        <v>309</v>
      </c>
      <c r="DN68" s="43" t="e">
        <f t="shared" si="29"/>
        <v>#DIV/0!</v>
      </c>
      <c r="DO68" s="52"/>
      <c r="DQ68" s="42"/>
      <c r="DR68" s="2" t="s">
        <v>309</v>
      </c>
      <c r="DS68" s="43" t="e">
        <f t="shared" si="30"/>
        <v>#DIV/0!</v>
      </c>
      <c r="DT68" s="52"/>
    </row>
    <row r="69" spans="1:124" ht="17.25">
      <c r="A69" s="3" t="s">
        <v>9</v>
      </c>
      <c r="B69" s="4" t="s">
        <v>5</v>
      </c>
      <c r="C69" s="6" t="s">
        <v>123</v>
      </c>
      <c r="D69" s="43">
        <f t="shared" si="25"/>
        <v>4</v>
      </c>
      <c r="E69" s="8" t="s">
        <v>314</v>
      </c>
      <c r="F69" s="43">
        <f t="shared" si="26"/>
        <v>589</v>
      </c>
      <c r="G69" s="59">
        <f t="shared" si="57"/>
        <v>2192</v>
      </c>
      <c r="J69" s="52"/>
      <c r="K69" s="52"/>
      <c r="L69" s="77" t="e">
        <f t="shared" si="58"/>
        <v>#DIV/0!</v>
      </c>
      <c r="M69" s="52"/>
      <c r="N69" s="52"/>
      <c r="O69" s="52" t="e">
        <f t="shared" si="59"/>
        <v>#DIV/0!</v>
      </c>
      <c r="P69" s="52"/>
      <c r="Q69" s="52"/>
      <c r="R69" s="52" t="e">
        <f t="shared" si="60"/>
        <v>#DIV/0!</v>
      </c>
      <c r="S69" s="52"/>
      <c r="T69" s="52"/>
      <c r="U69" s="52" t="e">
        <f t="shared" si="61"/>
        <v>#DIV/0!</v>
      </c>
      <c r="V69" s="52"/>
      <c r="W69" s="52"/>
      <c r="X69" s="52" t="e">
        <f t="shared" si="62"/>
        <v>#DIV/0!</v>
      </c>
      <c r="Y69" s="52"/>
      <c r="Z69" s="52"/>
      <c r="AA69" s="52" t="e">
        <f t="shared" si="63"/>
        <v>#DIV/0!</v>
      </c>
      <c r="AB69" s="52"/>
      <c r="AC69" s="52"/>
      <c r="AD69" s="52" t="e">
        <f t="shared" si="64"/>
        <v>#DIV/0!</v>
      </c>
      <c r="AE69" s="52"/>
      <c r="AF69" s="52"/>
      <c r="AG69" s="52" t="e">
        <f t="shared" si="65"/>
        <v>#DIV/0!</v>
      </c>
      <c r="AH69" s="52"/>
      <c r="AI69" s="52"/>
      <c r="AJ69" s="52" t="e">
        <f t="shared" si="66"/>
        <v>#DIV/0!</v>
      </c>
      <c r="AK69" s="52"/>
      <c r="AL69" s="52"/>
      <c r="AM69" s="52" t="e">
        <f t="shared" si="67"/>
        <v>#DIV/0!</v>
      </c>
      <c r="AN69" s="52"/>
      <c r="AO69" s="52"/>
      <c r="AP69" s="52" t="e">
        <f t="shared" si="68"/>
        <v>#DIV/0!</v>
      </c>
      <c r="AQ69" s="52"/>
      <c r="AR69" s="52"/>
      <c r="AS69" s="52" t="e">
        <f t="shared" si="69"/>
        <v>#DIV/0!</v>
      </c>
      <c r="AT69" s="52"/>
      <c r="AU69" s="52"/>
      <c r="AV69" s="52" t="e">
        <f t="shared" si="70"/>
        <v>#DIV/0!</v>
      </c>
      <c r="AW69" s="52"/>
      <c r="AX69" s="52"/>
      <c r="AY69" s="52" t="e">
        <f t="shared" si="71"/>
        <v>#DIV/0!</v>
      </c>
      <c r="AZ69" s="52"/>
      <c r="BA69" s="52"/>
      <c r="BB69" s="52" t="e">
        <f t="shared" si="72"/>
        <v>#DIV/0!</v>
      </c>
      <c r="BC69" s="52"/>
      <c r="BD69" s="52"/>
      <c r="BE69" s="52" t="e">
        <f t="shared" si="73"/>
        <v>#DIV/0!</v>
      </c>
      <c r="BF69" s="52"/>
      <c r="BG69" s="52"/>
      <c r="BH69" s="52" t="e">
        <f t="shared" si="74"/>
        <v>#DIV/0!</v>
      </c>
      <c r="BI69" s="52"/>
      <c r="BJ69" s="52"/>
      <c r="BK69" s="52" t="e">
        <f t="shared" si="75"/>
        <v>#DIV/0!</v>
      </c>
      <c r="BL69" s="52"/>
      <c r="BM69" s="52"/>
      <c r="BN69" s="52" t="e">
        <f t="shared" si="76"/>
        <v>#DIV/0!</v>
      </c>
      <c r="BO69" s="52"/>
      <c r="BP69" s="52"/>
      <c r="BQ69" s="52" t="e">
        <f t="shared" si="77"/>
        <v>#DIV/0!</v>
      </c>
      <c r="BR69" s="52"/>
      <c r="BS69" s="52"/>
      <c r="BT69" s="52" t="e">
        <f t="shared" si="78"/>
        <v>#DIV/0!</v>
      </c>
      <c r="BU69" s="52"/>
      <c r="BV69" s="52"/>
      <c r="BW69" s="52" t="e">
        <f t="shared" si="79"/>
        <v>#DIV/0!</v>
      </c>
      <c r="BX69" s="52">
        <v>4</v>
      </c>
      <c r="BY69" s="52">
        <f>3*548+2*274</f>
        <v>2192</v>
      </c>
      <c r="BZ69" s="52">
        <f t="shared" si="80"/>
        <v>548</v>
      </c>
      <c r="CA69" s="52"/>
      <c r="CB69" s="52"/>
      <c r="CC69" s="52" t="e">
        <f t="shared" si="81"/>
        <v>#DIV/0!</v>
      </c>
      <c r="CD69" s="33"/>
      <c r="CH69" s="59">
        <f>CF69*CG69</f>
        <v>0</v>
      </c>
      <c r="CP69" s="80">
        <f t="shared" si="27"/>
        <v>2356</v>
      </c>
      <c r="CR69" s="145">
        <v>0</v>
      </c>
      <c r="CS69" s="146" t="s">
        <v>314</v>
      </c>
      <c r="CT69" s="145" t="e">
        <v>#DIV/0!</v>
      </c>
      <c r="CU69" s="147">
        <v>0</v>
      </c>
      <c r="CW69" s="43">
        <f>'[4]Skolēnu Pils'!CW69+'[4]Laimīte'!CW69+'[4]Daugmale'!CW69+'[4]Altona'!CW69+'[4]Šaha'!CW69+'[4]BSKR_Rīga'!CW69</f>
        <v>0</v>
      </c>
      <c r="CX69" s="8" t="s">
        <v>314</v>
      </c>
      <c r="CY69" s="43" t="e">
        <f t="shared" si="28"/>
        <v>#DIV/0!</v>
      </c>
      <c r="CZ69" s="139">
        <f>'[4]Skolēnu Pils'!CZ69+'[4]Laimīte'!CZ69+'[4]Daugmale'!CZ69+'[4]Altona'!CZ69+'[4]Šaha'!CZ69+'[4]BSKR_Rīga'!CZ69</f>
        <v>0</v>
      </c>
      <c r="DB69" s="152">
        <v>0</v>
      </c>
      <c r="DC69" s="146" t="s">
        <v>314</v>
      </c>
      <c r="DD69" s="145" t="e">
        <v>#DIV/0!</v>
      </c>
      <c r="DE69" s="152">
        <v>0</v>
      </c>
      <c r="DG69" s="160">
        <v>4</v>
      </c>
      <c r="DH69" s="160" t="s">
        <v>314</v>
      </c>
      <c r="DI69" s="160">
        <v>589</v>
      </c>
      <c r="DJ69" s="160">
        <v>2356</v>
      </c>
      <c r="DL69" s="42"/>
      <c r="DM69" s="8" t="s">
        <v>314</v>
      </c>
      <c r="DN69" s="43" t="e">
        <f t="shared" si="29"/>
        <v>#DIV/0!</v>
      </c>
      <c r="DO69" s="52"/>
      <c r="DQ69" s="42"/>
      <c r="DR69" s="8" t="s">
        <v>314</v>
      </c>
      <c r="DS69" s="43" t="e">
        <f t="shared" si="30"/>
        <v>#DIV/0!</v>
      </c>
      <c r="DT69" s="52"/>
    </row>
    <row r="70" spans="1:124" ht="33">
      <c r="A70" s="3" t="s">
        <v>9</v>
      </c>
      <c r="B70" s="4" t="s">
        <v>5</v>
      </c>
      <c r="C70" s="6" t="s">
        <v>133</v>
      </c>
      <c r="D70" s="43">
        <f t="shared" si="25"/>
        <v>2</v>
      </c>
      <c r="E70" s="2" t="s">
        <v>315</v>
      </c>
      <c r="F70" s="43">
        <f t="shared" si="26"/>
        <v>575</v>
      </c>
      <c r="G70" s="59">
        <f t="shared" si="57"/>
        <v>380</v>
      </c>
      <c r="J70" s="52"/>
      <c r="K70" s="52"/>
      <c r="L70" s="77" t="e">
        <f t="shared" si="58"/>
        <v>#DIV/0!</v>
      </c>
      <c r="M70" s="52"/>
      <c r="N70" s="52"/>
      <c r="O70" s="52" t="e">
        <f t="shared" si="59"/>
        <v>#DIV/0!</v>
      </c>
      <c r="P70" s="52"/>
      <c r="Q70" s="52"/>
      <c r="R70" s="52" t="e">
        <f t="shared" si="60"/>
        <v>#DIV/0!</v>
      </c>
      <c r="S70" s="52"/>
      <c r="T70" s="52"/>
      <c r="U70" s="52" t="e">
        <f t="shared" si="61"/>
        <v>#DIV/0!</v>
      </c>
      <c r="V70" s="52"/>
      <c r="W70" s="52"/>
      <c r="X70" s="52" t="e">
        <f t="shared" si="62"/>
        <v>#DIV/0!</v>
      </c>
      <c r="Y70" s="52"/>
      <c r="Z70" s="52"/>
      <c r="AA70" s="52" t="e">
        <f t="shared" si="63"/>
        <v>#DIV/0!</v>
      </c>
      <c r="AB70" s="52"/>
      <c r="AC70" s="52"/>
      <c r="AD70" s="52" t="e">
        <f t="shared" si="64"/>
        <v>#DIV/0!</v>
      </c>
      <c r="AE70" s="52"/>
      <c r="AF70" s="52"/>
      <c r="AG70" s="52" t="e">
        <f t="shared" si="65"/>
        <v>#DIV/0!</v>
      </c>
      <c r="AH70" s="52"/>
      <c r="AI70" s="52"/>
      <c r="AJ70" s="52" t="e">
        <f t="shared" si="66"/>
        <v>#DIV/0!</v>
      </c>
      <c r="AK70" s="52"/>
      <c r="AL70" s="52"/>
      <c r="AM70" s="52" t="e">
        <f t="shared" si="67"/>
        <v>#DIV/0!</v>
      </c>
      <c r="AN70" s="52"/>
      <c r="AO70" s="52"/>
      <c r="AP70" s="52" t="e">
        <f t="shared" si="68"/>
        <v>#DIV/0!</v>
      </c>
      <c r="AQ70" s="52"/>
      <c r="AR70" s="52"/>
      <c r="AS70" s="52" t="e">
        <f t="shared" si="69"/>
        <v>#DIV/0!</v>
      </c>
      <c r="AT70" s="52"/>
      <c r="AU70" s="52"/>
      <c r="AV70" s="52" t="e">
        <f t="shared" si="70"/>
        <v>#DIV/0!</v>
      </c>
      <c r="AW70" s="52"/>
      <c r="AX70" s="52"/>
      <c r="AY70" s="52" t="e">
        <f t="shared" si="71"/>
        <v>#DIV/0!</v>
      </c>
      <c r="AZ70" s="52"/>
      <c r="BA70" s="52"/>
      <c r="BB70" s="52" t="e">
        <f t="shared" si="72"/>
        <v>#DIV/0!</v>
      </c>
      <c r="BC70" s="52"/>
      <c r="BD70" s="52"/>
      <c r="BE70" s="52" t="e">
        <f t="shared" si="73"/>
        <v>#DIV/0!</v>
      </c>
      <c r="BF70" s="52"/>
      <c r="BG70" s="52"/>
      <c r="BH70" s="52" t="e">
        <f t="shared" si="74"/>
        <v>#DIV/0!</v>
      </c>
      <c r="BI70" s="52"/>
      <c r="BJ70" s="52"/>
      <c r="BK70" s="52" t="e">
        <f t="shared" si="75"/>
        <v>#DIV/0!</v>
      </c>
      <c r="BL70" s="52"/>
      <c r="BM70" s="52"/>
      <c r="BN70" s="52" t="e">
        <f t="shared" si="76"/>
        <v>#DIV/0!</v>
      </c>
      <c r="BO70" s="52"/>
      <c r="BP70" s="52"/>
      <c r="BQ70" s="52" t="e">
        <f t="shared" si="77"/>
        <v>#DIV/0!</v>
      </c>
      <c r="BR70" s="52"/>
      <c r="BS70" s="52"/>
      <c r="BT70" s="52" t="e">
        <f t="shared" si="78"/>
        <v>#DIV/0!</v>
      </c>
      <c r="BU70" s="52"/>
      <c r="BV70" s="52"/>
      <c r="BW70" s="52" t="e">
        <f t="shared" si="79"/>
        <v>#DIV/0!</v>
      </c>
      <c r="BX70" s="52"/>
      <c r="BY70" s="52"/>
      <c r="BZ70" s="52" t="e">
        <f t="shared" si="80"/>
        <v>#DIV/0!</v>
      </c>
      <c r="CA70" s="52"/>
      <c r="CB70" s="52"/>
      <c r="CC70" s="52" t="e">
        <f t="shared" si="81"/>
        <v>#DIV/0!</v>
      </c>
      <c r="CD70" s="33"/>
      <c r="CF70" s="59">
        <v>1</v>
      </c>
      <c r="CG70" s="59">
        <f>CF70*CH70</f>
        <v>380</v>
      </c>
      <c r="CH70" s="59">
        <v>380</v>
      </c>
      <c r="CP70" s="80">
        <f t="shared" si="27"/>
        <v>1150</v>
      </c>
      <c r="CR70" s="145">
        <v>0</v>
      </c>
      <c r="CS70" s="148" t="s">
        <v>315</v>
      </c>
      <c r="CT70" s="145" t="e">
        <v>#DIV/0!</v>
      </c>
      <c r="CU70" s="147">
        <v>0</v>
      </c>
      <c r="CW70" s="43">
        <f>'[4]Skolēnu Pils'!CW70+'[4]Laimīte'!CW70+'[4]Daugmale'!CW70+'[4]Altona'!CW70+'[4]Šaha'!CW70+'[4]BSKR_Rīga'!CW70</f>
        <v>0</v>
      </c>
      <c r="CX70" s="2" t="s">
        <v>315</v>
      </c>
      <c r="CY70" s="43" t="e">
        <f t="shared" si="28"/>
        <v>#DIV/0!</v>
      </c>
      <c r="CZ70" s="139">
        <f>'[4]Skolēnu Pils'!CZ70+'[4]Laimīte'!CZ70+'[4]Daugmale'!CZ70+'[4]Altona'!CZ70+'[4]Šaha'!CZ70+'[4]BSKR_Rīga'!CZ70</f>
        <v>0</v>
      </c>
      <c r="DB70" s="152">
        <v>0</v>
      </c>
      <c r="DC70" s="148" t="s">
        <v>315</v>
      </c>
      <c r="DD70" s="145" t="e">
        <v>#DIV/0!</v>
      </c>
      <c r="DE70" s="152">
        <v>0</v>
      </c>
      <c r="DG70" s="160">
        <v>1</v>
      </c>
      <c r="DH70" s="160" t="s">
        <v>315</v>
      </c>
      <c r="DI70" s="160">
        <v>700</v>
      </c>
      <c r="DJ70" s="160">
        <v>700</v>
      </c>
      <c r="DL70" s="42"/>
      <c r="DM70" s="2" t="s">
        <v>315</v>
      </c>
      <c r="DN70" s="43" t="e">
        <f t="shared" si="29"/>
        <v>#DIV/0!</v>
      </c>
      <c r="DO70" s="52"/>
      <c r="DQ70" s="42">
        <v>1</v>
      </c>
      <c r="DR70" s="2" t="s">
        <v>315</v>
      </c>
      <c r="DS70" s="43">
        <f t="shared" si="30"/>
        <v>450</v>
      </c>
      <c r="DT70" s="52">
        <v>450</v>
      </c>
    </row>
    <row r="71" spans="1:124" ht="33">
      <c r="A71" s="4" t="s">
        <v>68</v>
      </c>
      <c r="B71" s="4" t="s">
        <v>10</v>
      </c>
      <c r="C71" s="6" t="s">
        <v>86</v>
      </c>
      <c r="D71" s="43">
        <f>CR71+DB71+DG71+DQ71+CW71+DL71</f>
        <v>9.5</v>
      </c>
      <c r="E71" s="2" t="s">
        <v>309</v>
      </c>
      <c r="F71" s="43">
        <f>CP71/D71</f>
        <v>746.0526315789474</v>
      </c>
      <c r="G71" s="59">
        <f t="shared" si="57"/>
        <v>5181</v>
      </c>
      <c r="J71" s="52"/>
      <c r="K71" s="52"/>
      <c r="L71" s="77" t="e">
        <f t="shared" si="58"/>
        <v>#DIV/0!</v>
      </c>
      <c r="M71" s="52"/>
      <c r="N71" s="52"/>
      <c r="O71" s="52" t="e">
        <f t="shared" si="59"/>
        <v>#DIV/0!</v>
      </c>
      <c r="P71" s="52"/>
      <c r="Q71" s="52"/>
      <c r="R71" s="52" t="e">
        <f t="shared" si="60"/>
        <v>#DIV/0!</v>
      </c>
      <c r="S71" s="52"/>
      <c r="T71" s="52"/>
      <c r="U71" s="52" t="e">
        <f t="shared" si="61"/>
        <v>#DIV/0!</v>
      </c>
      <c r="V71" s="52">
        <f>1</f>
        <v>1</v>
      </c>
      <c r="W71" s="52">
        <f>595</f>
        <v>595</v>
      </c>
      <c r="X71" s="52">
        <f t="shared" si="62"/>
        <v>595</v>
      </c>
      <c r="Y71" s="52"/>
      <c r="Z71" s="52"/>
      <c r="AA71" s="52" t="e">
        <f t="shared" si="63"/>
        <v>#DIV/0!</v>
      </c>
      <c r="AB71" s="52"/>
      <c r="AC71" s="52"/>
      <c r="AD71" s="52" t="e">
        <f t="shared" si="64"/>
        <v>#DIV/0!</v>
      </c>
      <c r="AE71" s="52"/>
      <c r="AF71" s="52"/>
      <c r="AG71" s="52" t="e">
        <f t="shared" si="65"/>
        <v>#DIV/0!</v>
      </c>
      <c r="AH71" s="52"/>
      <c r="AI71" s="52"/>
      <c r="AJ71" s="52" t="e">
        <f t="shared" si="66"/>
        <v>#DIV/0!</v>
      </c>
      <c r="AK71" s="52"/>
      <c r="AL71" s="52"/>
      <c r="AM71" s="52" t="e">
        <f t="shared" si="67"/>
        <v>#DIV/0!</v>
      </c>
      <c r="AN71" s="52"/>
      <c r="AO71" s="52"/>
      <c r="AP71" s="52" t="e">
        <f t="shared" si="68"/>
        <v>#DIV/0!</v>
      </c>
      <c r="AQ71" s="52">
        <f>1</f>
        <v>1</v>
      </c>
      <c r="AR71" s="52">
        <f>2*249</f>
        <v>498</v>
      </c>
      <c r="AS71" s="52">
        <f t="shared" si="69"/>
        <v>498</v>
      </c>
      <c r="AT71" s="52"/>
      <c r="AU71" s="52"/>
      <c r="AV71" s="52" t="e">
        <f t="shared" si="70"/>
        <v>#DIV/0!</v>
      </c>
      <c r="AW71" s="52"/>
      <c r="AX71" s="52"/>
      <c r="AY71" s="52" t="e">
        <f t="shared" si="71"/>
        <v>#DIV/0!</v>
      </c>
      <c r="AZ71" s="52"/>
      <c r="BA71" s="52"/>
      <c r="BB71" s="52" t="e">
        <f t="shared" si="72"/>
        <v>#DIV/0!</v>
      </c>
      <c r="BC71" s="52">
        <f>1</f>
        <v>1</v>
      </c>
      <c r="BD71" s="52">
        <f>800</f>
        <v>800</v>
      </c>
      <c r="BE71" s="52">
        <f t="shared" si="73"/>
        <v>800</v>
      </c>
      <c r="BF71" s="52">
        <f>1</f>
        <v>1</v>
      </c>
      <c r="BG71" s="52">
        <f>803</f>
        <v>803</v>
      </c>
      <c r="BH71" s="52">
        <f t="shared" si="74"/>
        <v>803</v>
      </c>
      <c r="BI71" s="52"/>
      <c r="BJ71" s="52"/>
      <c r="BK71" s="52" t="e">
        <f t="shared" si="75"/>
        <v>#DIV/0!</v>
      </c>
      <c r="BL71" s="52"/>
      <c r="BM71" s="52"/>
      <c r="BN71" s="52" t="e">
        <f t="shared" si="76"/>
        <v>#DIV/0!</v>
      </c>
      <c r="BO71" s="52">
        <f>2</f>
        <v>2</v>
      </c>
      <c r="BP71" s="52">
        <f>570+2*285</f>
        <v>1140</v>
      </c>
      <c r="BQ71" s="52">
        <f t="shared" si="77"/>
        <v>570</v>
      </c>
      <c r="BR71" s="52"/>
      <c r="BS71" s="52"/>
      <c r="BT71" s="52" t="e">
        <f t="shared" si="78"/>
        <v>#DIV/0!</v>
      </c>
      <c r="BU71" s="52">
        <f>1</f>
        <v>1</v>
      </c>
      <c r="BV71" s="52">
        <f>803</f>
        <v>803</v>
      </c>
      <c r="BW71" s="52">
        <f t="shared" si="79"/>
        <v>803</v>
      </c>
      <c r="BX71" s="52"/>
      <c r="BY71" s="52"/>
      <c r="BZ71" s="52" t="e">
        <f t="shared" si="80"/>
        <v>#DIV/0!</v>
      </c>
      <c r="CA71" s="52">
        <v>1</v>
      </c>
      <c r="CB71" s="52">
        <f>542</f>
        <v>542</v>
      </c>
      <c r="CC71" s="52">
        <f t="shared" si="81"/>
        <v>542</v>
      </c>
      <c r="CD71" s="33"/>
      <c r="CH71" s="59">
        <f>CF71*CG71</f>
        <v>0</v>
      </c>
      <c r="CP71" s="80">
        <f aca="true" t="shared" si="83" ref="CP71:CP116">CU71+DE71+DJ71+CZ71+DO71+DT71</f>
        <v>7087.5</v>
      </c>
      <c r="CR71" s="145">
        <v>3.5</v>
      </c>
      <c r="CS71" s="148" t="s">
        <v>309</v>
      </c>
      <c r="CT71" s="145">
        <v>805</v>
      </c>
      <c r="CU71" s="147">
        <v>2817.5</v>
      </c>
      <c r="CW71" s="43">
        <f>'[4]Skolēnu Pils'!CW71+'[4]Laimīte'!CW71+'[4]Daugmale'!CW71+'[4]Altona'!CW71+'[4]Šaha'!CW71+'[4]BSKR_Rīga'!CW71</f>
        <v>0</v>
      </c>
      <c r="CX71" s="2" t="s">
        <v>309</v>
      </c>
      <c r="CY71" s="43" t="e">
        <f aca="true" t="shared" si="84" ref="CY71:CY116">CZ71/CW71</f>
        <v>#DIV/0!</v>
      </c>
      <c r="CZ71" s="139">
        <f>'[4]Skolēnu Pils'!CZ71+'[4]Laimīte'!CZ71+'[4]Daugmale'!CZ71+'[4]Altona'!CZ71+'[4]Šaha'!CZ71+'[4]BSKR_Rīga'!CZ71</f>
        <v>0</v>
      </c>
      <c r="DB71" s="152">
        <v>1</v>
      </c>
      <c r="DC71" s="148" t="s">
        <v>309</v>
      </c>
      <c r="DD71" s="145">
        <v>630</v>
      </c>
      <c r="DE71" s="152">
        <v>630</v>
      </c>
      <c r="DG71" s="160">
        <v>5</v>
      </c>
      <c r="DH71" s="160" t="s">
        <v>309</v>
      </c>
      <c r="DI71" s="160">
        <v>728</v>
      </c>
      <c r="DJ71" s="160">
        <v>3640</v>
      </c>
      <c r="DL71" s="42"/>
      <c r="DM71" s="2" t="s">
        <v>309</v>
      </c>
      <c r="DN71" s="43" t="e">
        <f>DO71/DL71</f>
        <v>#DIV/0!</v>
      </c>
      <c r="DO71" s="52"/>
      <c r="DQ71" s="42"/>
      <c r="DR71" s="2" t="s">
        <v>309</v>
      </c>
      <c r="DS71" s="43" t="e">
        <f>DT71/DQ71</f>
        <v>#DIV/0!</v>
      </c>
      <c r="DT71" s="52"/>
    </row>
    <row r="72" spans="1:123" ht="16.5" customHeight="1" hidden="1">
      <c r="A72" s="63" t="s">
        <v>270</v>
      </c>
      <c r="D72" s="42">
        <f>J72+M72+P72+S72+V72+Y72+AB72+AE72+AH72+AK72+AN72+AQ72+AT72+AW72+AZ72+BC72+BF72+BI72+BL72+BO72+BR72+BU72+BX72+CA72+CF72</f>
        <v>305.35</v>
      </c>
      <c r="F72" s="43">
        <f>G72/D72</f>
        <v>463.71406582610115</v>
      </c>
      <c r="G72" s="59">
        <f>K72+N72+Q72+T72+W72+Z72+AC72+AF72+AI72+AL72+AO72+AR72+AU72+AX72+BA72+BD72+BG72+BJ72+BM72+BP72+BS72+BV72+BY72+CB72+CG72</f>
        <v>141595.09</v>
      </c>
      <c r="J72" s="59">
        <f>SUM(J25:J71)</f>
        <v>20</v>
      </c>
      <c r="K72" s="59">
        <f>SUM(K25:K71)</f>
        <v>9525</v>
      </c>
      <c r="L72" s="77">
        <f>K72/J72</f>
        <v>476.25</v>
      </c>
      <c r="M72" s="59">
        <f>SUM(M25:M71)</f>
        <v>4.5</v>
      </c>
      <c r="N72" s="59">
        <f>SUM(N25:N71)</f>
        <v>1910</v>
      </c>
      <c r="O72" s="52">
        <f>N72/M72</f>
        <v>424.44444444444446</v>
      </c>
      <c r="P72" s="59">
        <f>SUM(P25:P71)</f>
        <v>19.3</v>
      </c>
      <c r="Q72" s="59">
        <f>SUM(Q25:Q71)</f>
        <v>8205.5</v>
      </c>
      <c r="R72" s="79">
        <f>Q72/P72</f>
        <v>425.1554404145078</v>
      </c>
      <c r="S72" s="59">
        <f>SUM(S25:S71)</f>
        <v>6.5</v>
      </c>
      <c r="T72" s="59">
        <f>SUM(T25:T71)</f>
        <v>3053.11</v>
      </c>
      <c r="U72" s="59" t="e">
        <f>SUM(U25:U71)</f>
        <v>#DIV/0!</v>
      </c>
      <c r="V72" s="59">
        <f>SUM(V25:V71)</f>
        <v>15.5</v>
      </c>
      <c r="W72" s="59">
        <f>SUM(W25:W71)</f>
        <v>6999</v>
      </c>
      <c r="X72" s="52">
        <f>W72/V72</f>
        <v>451.5483870967742</v>
      </c>
      <c r="Y72" s="59">
        <f>SUM(Y25:Y71)</f>
        <v>9.5</v>
      </c>
      <c r="Z72" s="59">
        <f>SUM(Z25:Z71)</f>
        <v>4272</v>
      </c>
      <c r="AA72" s="52">
        <f>Z72/Y72</f>
        <v>449.6842105263158</v>
      </c>
      <c r="AB72" s="59">
        <f>SUM(AB25:AB71)</f>
        <v>11.5</v>
      </c>
      <c r="AC72" s="59">
        <f>SUM(AC25:AC71)</f>
        <v>5121</v>
      </c>
      <c r="AD72" s="52">
        <f>AC72/AB72</f>
        <v>445.30434782608694</v>
      </c>
      <c r="AE72" s="59">
        <f>SUM(AE25:AE71)</f>
        <v>14.4</v>
      </c>
      <c r="AF72" s="59">
        <f>SUM(AF25:AF71)</f>
        <v>5836</v>
      </c>
      <c r="AG72" s="52">
        <f>AF72/AE72</f>
        <v>405.27777777777777</v>
      </c>
      <c r="AH72" s="59">
        <f>SUM(AH25:AH71)</f>
        <v>9.5</v>
      </c>
      <c r="AI72" s="59">
        <f>SUM(AI25:AI71)</f>
        <v>4157.5</v>
      </c>
      <c r="AJ72" s="52">
        <f>AI72/AH72</f>
        <v>437.63157894736844</v>
      </c>
      <c r="AK72" s="59">
        <f>SUM(AK25:AK71)</f>
        <v>4.5</v>
      </c>
      <c r="AL72" s="59">
        <f>SUM(AL25:AL71)</f>
        <v>1836</v>
      </c>
      <c r="AM72" s="52">
        <f>AL72/AK72</f>
        <v>408</v>
      </c>
      <c r="AN72" s="59">
        <f>SUM(AN25:AN71)</f>
        <v>8.1</v>
      </c>
      <c r="AO72" s="59">
        <f>SUM(AO25:AO71)</f>
        <v>3138</v>
      </c>
      <c r="AP72" s="52">
        <f>AO72/AN72</f>
        <v>387.40740740740745</v>
      </c>
      <c r="AQ72" s="59">
        <f>SUM(AQ25:AQ71)</f>
        <v>18.25</v>
      </c>
      <c r="AR72" s="59">
        <f>SUM(AR25:AR71)</f>
        <v>7509</v>
      </c>
      <c r="AS72" s="52">
        <f>AR72/AQ72</f>
        <v>411.45205479452056</v>
      </c>
      <c r="AT72" s="59">
        <f>SUM(AT25:AT71)</f>
        <v>7.65</v>
      </c>
      <c r="AU72" s="59">
        <f>SUM(AU25:AU71)</f>
        <v>2969</v>
      </c>
      <c r="AV72" s="52">
        <f>AU72/AT72</f>
        <v>388.1045751633987</v>
      </c>
      <c r="AW72" s="59">
        <f>SUM(AW25:AW71)</f>
        <v>8</v>
      </c>
      <c r="AX72" s="59">
        <f>SUM(AX25:AX71)</f>
        <v>3560</v>
      </c>
      <c r="AY72" s="52">
        <f>AX72/AW72</f>
        <v>445</v>
      </c>
      <c r="AZ72" s="59">
        <f>SUM(AZ25:AZ71)</f>
        <v>1.75</v>
      </c>
      <c r="BA72" s="59">
        <f>SUM(BA25:BA71)</f>
        <v>881</v>
      </c>
      <c r="BB72" s="52">
        <f>BA72/AZ72</f>
        <v>503.42857142857144</v>
      </c>
      <c r="BC72" s="59">
        <f>SUM(BC25:BC71)</f>
        <v>10</v>
      </c>
      <c r="BD72" s="59">
        <f>SUM(BD25:BD71)</f>
        <v>6074</v>
      </c>
      <c r="BE72" s="52">
        <f>BD72/BC72</f>
        <v>607.4</v>
      </c>
      <c r="BF72" s="59">
        <f>SUM(BF25:BF71)</f>
        <v>18</v>
      </c>
      <c r="BG72" s="59">
        <f>SUM(BG25:BG71)</f>
        <v>8794</v>
      </c>
      <c r="BH72" s="52">
        <f>BG72/BF72</f>
        <v>488.55555555555554</v>
      </c>
      <c r="BI72" s="59">
        <f>SUM(BI25:BI71)</f>
        <v>5</v>
      </c>
      <c r="BJ72" s="59">
        <f>SUM(BJ25:BJ71)</f>
        <v>2452</v>
      </c>
      <c r="BK72" s="52">
        <f>BJ72/BI72</f>
        <v>490.4</v>
      </c>
      <c r="BL72" s="59">
        <f>SUM(BL25:BL71)</f>
        <v>2.2</v>
      </c>
      <c r="BM72" s="59">
        <f>SUM(BM25:BM71)</f>
        <v>1134</v>
      </c>
      <c r="BN72" s="52">
        <f>BM72/BL72</f>
        <v>515.4545454545454</v>
      </c>
      <c r="BO72" s="59">
        <f>SUM(BO25:BO71)</f>
        <v>10</v>
      </c>
      <c r="BP72" s="59">
        <f>SUM(BP25:BP71)</f>
        <v>4926</v>
      </c>
      <c r="BQ72" s="52">
        <f>BP72/BO72</f>
        <v>492.6</v>
      </c>
      <c r="BR72" s="59">
        <f>SUM(BR25:BR71)</f>
        <v>6.5</v>
      </c>
      <c r="BS72" s="59">
        <f>SUM(BS25:BS71)</f>
        <v>2965.5</v>
      </c>
      <c r="BT72" s="52">
        <f>BS72/BR72</f>
        <v>456.2307692307692</v>
      </c>
      <c r="BU72" s="59">
        <f>SUM(BU25:BU71)</f>
        <v>10</v>
      </c>
      <c r="BV72" s="59">
        <f>SUM(BV25:BV71)</f>
        <v>4901</v>
      </c>
      <c r="BW72" s="52">
        <f>BV72/BU72</f>
        <v>490.1</v>
      </c>
      <c r="BX72" s="59">
        <f>SUM(BX25:BX71)</f>
        <v>17.5</v>
      </c>
      <c r="BY72" s="80">
        <f>SUM(BY25:BY71)</f>
        <v>8320.5</v>
      </c>
      <c r="BZ72" s="52">
        <f>BY72/BX72</f>
        <v>475.45714285714286</v>
      </c>
      <c r="CA72" s="59">
        <f>SUM(CA25:CA71)</f>
        <v>51.2</v>
      </c>
      <c r="CB72" s="59">
        <f>SUM(CB25:CB71)</f>
        <v>26181.95</v>
      </c>
      <c r="CC72" s="52">
        <f>CB72/CA72</f>
        <v>511.3662109375</v>
      </c>
      <c r="CD72" s="33"/>
      <c r="CF72" s="59">
        <f>SUM(CF25:CF71)</f>
        <v>16</v>
      </c>
      <c r="CG72" s="59">
        <f>SUM(CG25:CG71)</f>
        <v>6874.03</v>
      </c>
      <c r="CH72" s="59">
        <f>CG72/CF72</f>
        <v>429.626875</v>
      </c>
      <c r="CP72" s="80">
        <f t="shared" si="83"/>
        <v>0</v>
      </c>
      <c r="CR72" s="152" t="e">
        <v>#REF!</v>
      </c>
      <c r="CS72" s="153"/>
      <c r="CT72" s="145" t="e">
        <v>#REF!</v>
      </c>
      <c r="CW72" s="42" t="e">
        <f>#REF!+#REF!+#REF!+#REF!+#REF!+#REF!+#REF!+#REF!+#REF!+#REF!+#REF!+#REF!+#REF!+#REF!+#REF!+#REF!+#REF!+#REF!+#REF!+#REF!+#REF!+#REF!+#REF!+#REF!+#REF!</f>
        <v>#REF!</v>
      </c>
      <c r="CX72" s="60"/>
      <c r="CY72" s="43" t="e">
        <f t="shared" si="84"/>
        <v>#REF!</v>
      </c>
      <c r="DB72" s="152" t="e">
        <v>#REF!</v>
      </c>
      <c r="DC72" s="153"/>
      <c r="DD72" s="145" t="e">
        <v>#REF!</v>
      </c>
      <c r="DG72" s="160" t="e">
        <v>#REF!</v>
      </c>
      <c r="DH72" s="160"/>
      <c r="DI72" s="160" t="e">
        <v>#REF!</v>
      </c>
      <c r="DJ72" s="160"/>
      <c r="DL72" s="42" t="e">
        <f>#REF!+#REF!+#REF!+#REF!+#REF!+#REF!+#REF!+#REF!+#REF!+#REF!+#REF!+#REF!+#REF!+#REF!+#REF!+#REF!+#REF!+#REF!+#REF!+#REF!+#REF!+#REF!+#REF!+#REF!+#REF!</f>
        <v>#REF!</v>
      </c>
      <c r="DM72" s="60"/>
      <c r="DN72" s="43" t="e">
        <f>DO72/DL72</f>
        <v>#REF!</v>
      </c>
      <c r="DQ72" s="42" t="e">
        <f>#REF!+#REF!+#REF!+#REF!+#REF!+#REF!+#REF!+#REF!+#REF!+#REF!+#REF!+#REF!+#REF!+#REF!+#REF!+#REF!+#REF!+#REF!+#REF!+#REF!+#REF!+#REF!+#REF!+#REF!+#REF!</f>
        <v>#REF!</v>
      </c>
      <c r="DR72" s="60"/>
      <c r="DS72" s="43" t="e">
        <f>DT72/DQ72</f>
        <v>#REF!</v>
      </c>
    </row>
    <row r="73" spans="1:123" ht="16.5" customHeight="1" hidden="1">
      <c r="A73" s="63"/>
      <c r="F73" s="89"/>
      <c r="L73" s="37"/>
      <c r="O73" s="28"/>
      <c r="R73" s="28"/>
      <c r="X73" s="28"/>
      <c r="AA73" s="28"/>
      <c r="AD73" s="28"/>
      <c r="AG73" s="28"/>
      <c r="AJ73" s="28"/>
      <c r="AM73" s="28"/>
      <c r="AP73" s="28"/>
      <c r="AS73" s="28"/>
      <c r="AV73" s="28"/>
      <c r="AY73" s="28"/>
      <c r="BB73" s="28"/>
      <c r="BE73" s="28"/>
      <c r="BH73" s="28"/>
      <c r="BK73" s="28"/>
      <c r="BN73" s="28"/>
      <c r="BQ73" s="28"/>
      <c r="BT73" s="28"/>
      <c r="BW73" s="28"/>
      <c r="BY73" s="80"/>
      <c r="BZ73" s="28"/>
      <c r="CC73" s="28"/>
      <c r="CD73" s="33"/>
      <c r="CP73" s="80">
        <f t="shared" si="83"/>
        <v>0</v>
      </c>
      <c r="CR73" s="153"/>
      <c r="CS73" s="153"/>
      <c r="CT73" s="145" t="e">
        <v>#DIV/0!</v>
      </c>
      <c r="CW73" s="60"/>
      <c r="CX73" s="60"/>
      <c r="CY73" s="43" t="e">
        <f t="shared" si="84"/>
        <v>#DIV/0!</v>
      </c>
      <c r="DB73" s="153"/>
      <c r="DC73" s="153"/>
      <c r="DD73" s="145" t="e">
        <v>#DIV/0!</v>
      </c>
      <c r="DG73" s="160"/>
      <c r="DH73" s="160"/>
      <c r="DI73" s="160"/>
      <c r="DJ73" s="160"/>
      <c r="DL73" s="60"/>
      <c r="DM73" s="60"/>
      <c r="DN73" s="89"/>
      <c r="DQ73" s="60"/>
      <c r="DR73" s="60"/>
      <c r="DS73" s="89"/>
    </row>
    <row r="74" spans="1:123" ht="16.5" customHeight="1" hidden="1">
      <c r="A74" s="63" t="s">
        <v>299</v>
      </c>
      <c r="C74" s="63" t="s">
        <v>129</v>
      </c>
      <c r="D74" s="42">
        <f aca="true" t="shared" si="85" ref="D74:D82">J74+M74+P74+S74+V74+Y74+AB74+AE74+AH74+AK74+AN74+AQ74+AT74+AW74+AZ74+BC74+BF74+BI74+BL74+BO74+BR74+BU74+BX74+CA74</f>
        <v>2</v>
      </c>
      <c r="E74" s="8" t="s">
        <v>19</v>
      </c>
      <c r="F74" s="43">
        <f>G74/D74</f>
        <v>548</v>
      </c>
      <c r="G74" s="59">
        <f aca="true" t="shared" si="86" ref="G74:G82">K74+N74+Q74+T74+W74+Z74+AC74+AF74+AI74+AL74+AO74+AR74+AU74+AX74+BA74+BD74+BG74+BJ74+BM74+BP74+BS74+BV74+BY74+CB74</f>
        <v>1096</v>
      </c>
      <c r="R74" s="28"/>
      <c r="BI74" s="59">
        <v>1</v>
      </c>
      <c r="BJ74" s="59">
        <f>548</f>
        <v>548</v>
      </c>
      <c r="BK74" s="52">
        <f>BJ74/BI74</f>
        <v>548</v>
      </c>
      <c r="BX74" s="59">
        <v>1</v>
      </c>
      <c r="BY74" s="59">
        <f>548</f>
        <v>548</v>
      </c>
      <c r="BZ74" s="52">
        <f>BY74/BX74</f>
        <v>548</v>
      </c>
      <c r="CP74" s="80">
        <f t="shared" si="83"/>
        <v>0</v>
      </c>
      <c r="CR74" s="152" t="e">
        <v>#REF!</v>
      </c>
      <c r="CS74" s="146" t="s">
        <v>19</v>
      </c>
      <c r="CT74" s="145" t="e">
        <v>#REF!</v>
      </c>
      <c r="CW74" s="42" t="e">
        <f>#REF!+#REF!+#REF!+#REF!+#REF!+#REF!+#REF!+#REF!+#REF!+#REF!+#REF!+#REF!+#REF!+#REF!+#REF!+#REF!+#REF!+#REF!+#REF!+#REF!+#REF!+#REF!+#REF!+#REF!</f>
        <v>#REF!</v>
      </c>
      <c r="CX74" s="8" t="s">
        <v>19</v>
      </c>
      <c r="CY74" s="43" t="e">
        <f t="shared" si="84"/>
        <v>#REF!</v>
      </c>
      <c r="DB74" s="152" t="e">
        <v>#REF!</v>
      </c>
      <c r="DC74" s="146" t="s">
        <v>19</v>
      </c>
      <c r="DD74" s="145" t="e">
        <v>#REF!</v>
      </c>
      <c r="DG74" s="160" t="e">
        <v>#REF!</v>
      </c>
      <c r="DH74" s="160" t="s">
        <v>19</v>
      </c>
      <c r="DI74" s="160" t="e">
        <v>#REF!</v>
      </c>
      <c r="DJ74" s="160"/>
      <c r="DL74" s="42" t="e">
        <f>#REF!+#REF!+#REF!+#REF!+#REF!+#REF!+#REF!+#REF!+#REF!+#REF!+#REF!+#REF!+#REF!+#REF!+#REF!+#REF!+#REF!+#REF!+#REF!+#REF!+#REF!+#REF!+#REF!+#REF!</f>
        <v>#REF!</v>
      </c>
      <c r="DM74" s="8" t="s">
        <v>19</v>
      </c>
      <c r="DN74" s="43" t="e">
        <f aca="true" t="shared" si="87" ref="DN74:DN83">DO74/DL74</f>
        <v>#REF!</v>
      </c>
      <c r="DQ74" s="42" t="e">
        <f>#REF!+#REF!+#REF!+#REF!+#REF!+#REF!+#REF!+#REF!+#REF!+#REF!+#REF!+#REF!+#REF!+#REF!+#REF!+#REF!+#REF!+#REF!+#REF!+#REF!+#REF!+#REF!+#REF!+#REF!</f>
        <v>#REF!</v>
      </c>
      <c r="DR74" s="8" t="s">
        <v>19</v>
      </c>
      <c r="DS74" s="43" t="e">
        <f aca="true" t="shared" si="88" ref="DS74:DS83">DT74/DQ74</f>
        <v>#REF!</v>
      </c>
    </row>
    <row r="75" spans="1:123" ht="16.5" customHeight="1" hidden="1">
      <c r="A75" s="63"/>
      <c r="C75" s="63" t="s">
        <v>43</v>
      </c>
      <c r="D75" s="42">
        <f t="shared" si="85"/>
        <v>11</v>
      </c>
      <c r="E75" s="4" t="s">
        <v>20</v>
      </c>
      <c r="F75" s="43">
        <f>G75/D75</f>
        <v>385.45454545454544</v>
      </c>
      <c r="G75" s="59">
        <f t="shared" si="86"/>
        <v>4240</v>
      </c>
      <c r="BX75" s="59">
        <v>7</v>
      </c>
      <c r="BY75" s="59">
        <v>2660</v>
      </c>
      <c r="BZ75" s="52">
        <f>BY75/BX75</f>
        <v>380</v>
      </c>
      <c r="CA75" s="59">
        <f>4</f>
        <v>4</v>
      </c>
      <c r="CB75" s="59">
        <f>4*395</f>
        <v>1580</v>
      </c>
      <c r="CC75" s="52">
        <f>CB75/CA75</f>
        <v>395</v>
      </c>
      <c r="CD75" s="33"/>
      <c r="CP75" s="80">
        <f t="shared" si="83"/>
        <v>0</v>
      </c>
      <c r="CR75" s="152" t="e">
        <v>#REF!</v>
      </c>
      <c r="CS75" s="149" t="s">
        <v>20</v>
      </c>
      <c r="CT75" s="145" t="e">
        <v>#REF!</v>
      </c>
      <c r="CW75" s="42" t="e">
        <f>#REF!+#REF!+#REF!+#REF!+#REF!+#REF!+#REF!+#REF!+#REF!+#REF!+#REF!+#REF!+#REF!+#REF!+#REF!+#REF!+#REF!+#REF!+#REF!+#REF!+#REF!+#REF!+#REF!+#REF!</f>
        <v>#REF!</v>
      </c>
      <c r="CX75" s="4" t="s">
        <v>20</v>
      </c>
      <c r="CY75" s="43" t="e">
        <f t="shared" si="84"/>
        <v>#REF!</v>
      </c>
      <c r="DB75" s="152" t="e">
        <v>#REF!</v>
      </c>
      <c r="DC75" s="149" t="s">
        <v>20</v>
      </c>
      <c r="DD75" s="145" t="e">
        <v>#REF!</v>
      </c>
      <c r="DG75" s="160" t="e">
        <v>#REF!</v>
      </c>
      <c r="DH75" s="160" t="s">
        <v>20</v>
      </c>
      <c r="DI75" s="160" t="e">
        <v>#REF!</v>
      </c>
      <c r="DJ75" s="160"/>
      <c r="DL75" s="42" t="e">
        <f>#REF!+#REF!+#REF!+#REF!+#REF!+#REF!+#REF!+#REF!+#REF!+#REF!+#REF!+#REF!+#REF!+#REF!+#REF!+#REF!+#REF!+#REF!+#REF!+#REF!+#REF!+#REF!+#REF!+#REF!</f>
        <v>#REF!</v>
      </c>
      <c r="DM75" s="4" t="s">
        <v>20</v>
      </c>
      <c r="DN75" s="43" t="e">
        <f t="shared" si="87"/>
        <v>#REF!</v>
      </c>
      <c r="DQ75" s="42" t="e">
        <f>#REF!+#REF!+#REF!+#REF!+#REF!+#REF!+#REF!+#REF!+#REF!+#REF!+#REF!+#REF!+#REF!+#REF!+#REF!+#REF!+#REF!+#REF!+#REF!+#REF!+#REF!+#REF!+#REF!+#REF!</f>
        <v>#REF!</v>
      </c>
      <c r="DR75" s="4" t="s">
        <v>20</v>
      </c>
      <c r="DS75" s="43" t="e">
        <f t="shared" si="88"/>
        <v>#REF!</v>
      </c>
    </row>
    <row r="76" spans="1:123" ht="16.5" customHeight="1" hidden="1">
      <c r="A76" s="63"/>
      <c r="C76" s="63" t="s">
        <v>300</v>
      </c>
      <c r="D76" s="42">
        <f t="shared" si="85"/>
        <v>1</v>
      </c>
      <c r="E76" s="2" t="s">
        <v>45</v>
      </c>
      <c r="F76" s="43">
        <f aca="true" t="shared" si="89" ref="F76:F83">G76/D76</f>
        <v>978</v>
      </c>
      <c r="G76" s="59">
        <f t="shared" si="86"/>
        <v>978</v>
      </c>
      <c r="CA76" s="59">
        <v>1</v>
      </c>
      <c r="CB76" s="59">
        <f>978</f>
        <v>978</v>
      </c>
      <c r="CC76" s="52">
        <f>CB76/CA76</f>
        <v>978</v>
      </c>
      <c r="CD76" s="33"/>
      <c r="CP76" s="80">
        <f t="shared" si="83"/>
        <v>0</v>
      </c>
      <c r="CR76" s="152" t="e">
        <v>#REF!</v>
      </c>
      <c r="CS76" s="148" t="s">
        <v>45</v>
      </c>
      <c r="CT76" s="145" t="e">
        <v>#REF!</v>
      </c>
      <c r="CW76" s="42" t="e">
        <f>#REF!+#REF!+#REF!+#REF!+#REF!+#REF!+#REF!+#REF!+#REF!+#REF!+#REF!+#REF!+#REF!+#REF!+#REF!+#REF!+#REF!+#REF!+#REF!+#REF!+#REF!+#REF!+#REF!+#REF!</f>
        <v>#REF!</v>
      </c>
      <c r="CX76" s="2" t="s">
        <v>45</v>
      </c>
      <c r="CY76" s="43" t="e">
        <f t="shared" si="84"/>
        <v>#REF!</v>
      </c>
      <c r="DB76" s="152" t="e">
        <v>#REF!</v>
      </c>
      <c r="DC76" s="148" t="s">
        <v>45</v>
      </c>
      <c r="DD76" s="145" t="e">
        <v>#REF!</v>
      </c>
      <c r="DG76" s="160" t="e">
        <v>#REF!</v>
      </c>
      <c r="DH76" s="160" t="s">
        <v>45</v>
      </c>
      <c r="DI76" s="160" t="e">
        <v>#REF!</v>
      </c>
      <c r="DJ76" s="160"/>
      <c r="DL76" s="42" t="e">
        <f>#REF!+#REF!+#REF!+#REF!+#REF!+#REF!+#REF!+#REF!+#REF!+#REF!+#REF!+#REF!+#REF!+#REF!+#REF!+#REF!+#REF!+#REF!+#REF!+#REF!+#REF!+#REF!+#REF!+#REF!</f>
        <v>#REF!</v>
      </c>
      <c r="DM76" s="2" t="s">
        <v>45</v>
      </c>
      <c r="DN76" s="43" t="e">
        <f t="shared" si="87"/>
        <v>#REF!</v>
      </c>
      <c r="DQ76" s="42" t="e">
        <f>#REF!+#REF!+#REF!+#REF!+#REF!+#REF!+#REF!+#REF!+#REF!+#REF!+#REF!+#REF!+#REF!+#REF!+#REF!+#REF!+#REF!+#REF!+#REF!+#REF!+#REF!+#REF!+#REF!+#REF!</f>
        <v>#REF!</v>
      </c>
      <c r="DR76" s="2" t="s">
        <v>45</v>
      </c>
      <c r="DS76" s="43" t="e">
        <f t="shared" si="88"/>
        <v>#REF!</v>
      </c>
    </row>
    <row r="77" spans="1:123" ht="16.5" customHeight="1" hidden="1">
      <c r="A77" s="63"/>
      <c r="C77" s="63" t="s">
        <v>55</v>
      </c>
      <c r="D77" s="42">
        <f t="shared" si="85"/>
        <v>1</v>
      </c>
      <c r="E77" s="8" t="s">
        <v>19</v>
      </c>
      <c r="F77" s="43">
        <f t="shared" si="89"/>
        <v>548</v>
      </c>
      <c r="G77" s="59">
        <f t="shared" si="86"/>
        <v>548</v>
      </c>
      <c r="CA77" s="59">
        <f>1</f>
        <v>1</v>
      </c>
      <c r="CB77" s="59">
        <f>548</f>
        <v>548</v>
      </c>
      <c r="CC77" s="52">
        <f aca="true" t="shared" si="90" ref="CC77:CC83">CB77/CA77</f>
        <v>548</v>
      </c>
      <c r="CD77" s="33"/>
      <c r="CP77" s="80">
        <f t="shared" si="83"/>
        <v>0</v>
      </c>
      <c r="CR77" s="152" t="e">
        <v>#REF!</v>
      </c>
      <c r="CS77" s="146" t="s">
        <v>19</v>
      </c>
      <c r="CT77" s="145" t="e">
        <v>#REF!</v>
      </c>
      <c r="CW77" s="42" t="e">
        <f>#REF!+#REF!+#REF!+#REF!+#REF!+#REF!+#REF!+#REF!+#REF!+#REF!+#REF!+#REF!+#REF!+#REF!+#REF!+#REF!+#REF!+#REF!+#REF!+#REF!+#REF!+#REF!+#REF!+#REF!</f>
        <v>#REF!</v>
      </c>
      <c r="CX77" s="8" t="s">
        <v>19</v>
      </c>
      <c r="CY77" s="43" t="e">
        <f t="shared" si="84"/>
        <v>#REF!</v>
      </c>
      <c r="DB77" s="152" t="e">
        <v>#REF!</v>
      </c>
      <c r="DC77" s="146" t="s">
        <v>19</v>
      </c>
      <c r="DD77" s="145" t="e">
        <v>#REF!</v>
      </c>
      <c r="DG77" s="160" t="e">
        <v>#REF!</v>
      </c>
      <c r="DH77" s="160" t="s">
        <v>19</v>
      </c>
      <c r="DI77" s="160" t="e">
        <v>#REF!</v>
      </c>
      <c r="DJ77" s="160"/>
      <c r="DL77" s="42" t="e">
        <f>#REF!+#REF!+#REF!+#REF!+#REF!+#REF!+#REF!+#REF!+#REF!+#REF!+#REF!+#REF!+#REF!+#REF!+#REF!+#REF!+#REF!+#REF!+#REF!+#REF!+#REF!+#REF!+#REF!+#REF!</f>
        <v>#REF!</v>
      </c>
      <c r="DM77" s="8" t="s">
        <v>19</v>
      </c>
      <c r="DN77" s="43" t="e">
        <f t="shared" si="87"/>
        <v>#REF!</v>
      </c>
      <c r="DQ77" s="42" t="e">
        <f>#REF!+#REF!+#REF!+#REF!+#REF!+#REF!+#REF!+#REF!+#REF!+#REF!+#REF!+#REF!+#REF!+#REF!+#REF!+#REF!+#REF!+#REF!+#REF!+#REF!+#REF!+#REF!+#REF!+#REF!</f>
        <v>#REF!</v>
      </c>
      <c r="DR77" s="8" t="s">
        <v>19</v>
      </c>
      <c r="DS77" s="43" t="e">
        <f t="shared" si="88"/>
        <v>#REF!</v>
      </c>
    </row>
    <row r="78" spans="1:123" ht="16.5" customHeight="1" hidden="1">
      <c r="A78" s="63"/>
      <c r="C78" s="63" t="s">
        <v>86</v>
      </c>
      <c r="D78" s="42">
        <f t="shared" si="85"/>
        <v>1</v>
      </c>
      <c r="E78" s="2" t="s">
        <v>22</v>
      </c>
      <c r="F78" s="43">
        <f t="shared" si="89"/>
        <v>542</v>
      </c>
      <c r="G78" s="59">
        <f t="shared" si="86"/>
        <v>542</v>
      </c>
      <c r="CA78" s="59">
        <v>1</v>
      </c>
      <c r="CB78" s="59">
        <f>542</f>
        <v>542</v>
      </c>
      <c r="CC78" s="52">
        <f t="shared" si="90"/>
        <v>542</v>
      </c>
      <c r="CD78" s="33"/>
      <c r="CP78" s="80">
        <f t="shared" si="83"/>
        <v>0</v>
      </c>
      <c r="CR78" s="152" t="e">
        <v>#REF!</v>
      </c>
      <c r="CS78" s="148" t="s">
        <v>22</v>
      </c>
      <c r="CT78" s="145" t="e">
        <v>#REF!</v>
      </c>
      <c r="CW78" s="42" t="e">
        <f>#REF!+#REF!+#REF!+#REF!+#REF!+#REF!+#REF!+#REF!+#REF!+#REF!+#REF!+#REF!+#REF!+#REF!+#REF!+#REF!+#REF!+#REF!+#REF!+#REF!+#REF!+#REF!+#REF!+#REF!</f>
        <v>#REF!</v>
      </c>
      <c r="CX78" s="2" t="s">
        <v>22</v>
      </c>
      <c r="CY78" s="43" t="e">
        <f t="shared" si="84"/>
        <v>#REF!</v>
      </c>
      <c r="DB78" s="152" t="e">
        <v>#REF!</v>
      </c>
      <c r="DC78" s="148" t="s">
        <v>22</v>
      </c>
      <c r="DD78" s="145" t="e">
        <v>#REF!</v>
      </c>
      <c r="DG78" s="160" t="e">
        <v>#REF!</v>
      </c>
      <c r="DH78" s="160" t="s">
        <v>22</v>
      </c>
      <c r="DI78" s="160" t="e">
        <v>#REF!</v>
      </c>
      <c r="DJ78" s="160"/>
      <c r="DL78" s="42" t="e">
        <f>#REF!+#REF!+#REF!+#REF!+#REF!+#REF!+#REF!+#REF!+#REF!+#REF!+#REF!+#REF!+#REF!+#REF!+#REF!+#REF!+#REF!+#REF!+#REF!+#REF!+#REF!+#REF!+#REF!+#REF!</f>
        <v>#REF!</v>
      </c>
      <c r="DM78" s="2" t="s">
        <v>22</v>
      </c>
      <c r="DN78" s="43" t="e">
        <f t="shared" si="87"/>
        <v>#REF!</v>
      </c>
      <c r="DQ78" s="42" t="e">
        <f>#REF!+#REF!+#REF!+#REF!+#REF!+#REF!+#REF!+#REF!+#REF!+#REF!+#REF!+#REF!+#REF!+#REF!+#REF!+#REF!+#REF!+#REF!+#REF!+#REF!+#REF!+#REF!+#REF!+#REF!</f>
        <v>#REF!</v>
      </c>
      <c r="DR78" s="2" t="s">
        <v>22</v>
      </c>
      <c r="DS78" s="43" t="e">
        <f t="shared" si="88"/>
        <v>#REF!</v>
      </c>
    </row>
    <row r="79" spans="1:123" ht="16.5" customHeight="1" hidden="1">
      <c r="A79" s="63"/>
      <c r="C79" s="63" t="s">
        <v>134</v>
      </c>
      <c r="D79" s="42">
        <f t="shared" si="85"/>
        <v>0.6</v>
      </c>
      <c r="E79" s="8" t="s">
        <v>19</v>
      </c>
      <c r="F79" s="43">
        <f t="shared" si="89"/>
        <v>524.1666666666667</v>
      </c>
      <c r="G79" s="59">
        <f t="shared" si="86"/>
        <v>314.5</v>
      </c>
      <c r="CA79" s="59">
        <v>0.6</v>
      </c>
      <c r="CB79" s="59">
        <f>314.5</f>
        <v>314.5</v>
      </c>
      <c r="CC79" s="52">
        <f t="shared" si="90"/>
        <v>524.1666666666667</v>
      </c>
      <c r="CD79" s="33"/>
      <c r="CP79" s="80">
        <f t="shared" si="83"/>
        <v>0</v>
      </c>
      <c r="CR79" s="152" t="e">
        <v>#REF!</v>
      </c>
      <c r="CS79" s="146" t="s">
        <v>19</v>
      </c>
      <c r="CT79" s="145" t="e">
        <v>#REF!</v>
      </c>
      <c r="CW79" s="42" t="e">
        <f>#REF!+#REF!+#REF!+#REF!+#REF!+#REF!+#REF!+#REF!+#REF!+#REF!+#REF!+#REF!+#REF!+#REF!+#REF!+#REF!+#REF!+#REF!+#REF!+#REF!+#REF!+#REF!+#REF!+#REF!</f>
        <v>#REF!</v>
      </c>
      <c r="CX79" s="8" t="s">
        <v>19</v>
      </c>
      <c r="CY79" s="43" t="e">
        <f t="shared" si="84"/>
        <v>#REF!</v>
      </c>
      <c r="DB79" s="152" t="e">
        <v>#REF!</v>
      </c>
      <c r="DC79" s="146" t="s">
        <v>19</v>
      </c>
      <c r="DD79" s="145" t="e">
        <v>#REF!</v>
      </c>
      <c r="DG79" s="160" t="e">
        <v>#REF!</v>
      </c>
      <c r="DH79" s="160" t="s">
        <v>19</v>
      </c>
      <c r="DI79" s="160" t="e">
        <v>#REF!</v>
      </c>
      <c r="DJ79" s="160"/>
      <c r="DL79" s="42" t="e">
        <f>#REF!+#REF!+#REF!+#REF!+#REF!+#REF!+#REF!+#REF!+#REF!+#REF!+#REF!+#REF!+#REF!+#REF!+#REF!+#REF!+#REF!+#REF!+#REF!+#REF!+#REF!+#REF!+#REF!+#REF!</f>
        <v>#REF!</v>
      </c>
      <c r="DM79" s="8" t="s">
        <v>19</v>
      </c>
      <c r="DN79" s="43" t="e">
        <f t="shared" si="87"/>
        <v>#REF!</v>
      </c>
      <c r="DQ79" s="42" t="e">
        <f>#REF!+#REF!+#REF!+#REF!+#REF!+#REF!+#REF!+#REF!+#REF!+#REF!+#REF!+#REF!+#REF!+#REF!+#REF!+#REF!+#REF!+#REF!+#REF!+#REF!+#REF!+#REF!+#REF!+#REF!</f>
        <v>#REF!</v>
      </c>
      <c r="DR79" s="8" t="s">
        <v>19</v>
      </c>
      <c r="DS79" s="43" t="e">
        <f t="shared" si="88"/>
        <v>#REF!</v>
      </c>
    </row>
    <row r="80" spans="1:123" ht="16.5" customHeight="1" hidden="1">
      <c r="A80" s="63"/>
      <c r="C80" s="63" t="s">
        <v>13</v>
      </c>
      <c r="D80" s="42">
        <f t="shared" si="85"/>
        <v>4</v>
      </c>
      <c r="E80" s="4" t="s">
        <v>20</v>
      </c>
      <c r="F80" s="43">
        <f t="shared" si="89"/>
        <v>381.625</v>
      </c>
      <c r="G80" s="59">
        <f t="shared" si="86"/>
        <v>1526.5</v>
      </c>
      <c r="CA80" s="59">
        <v>4</v>
      </c>
      <c r="CB80" s="59">
        <f>3*380+386.5</f>
        <v>1526.5</v>
      </c>
      <c r="CC80" s="52">
        <f t="shared" si="90"/>
        <v>381.625</v>
      </c>
      <c r="CD80" s="33"/>
      <c r="CP80" s="80">
        <f t="shared" si="83"/>
        <v>0</v>
      </c>
      <c r="CR80" s="152" t="e">
        <v>#REF!</v>
      </c>
      <c r="CS80" s="149" t="s">
        <v>20</v>
      </c>
      <c r="CT80" s="145" t="e">
        <v>#REF!</v>
      </c>
      <c r="CW80" s="42" t="e">
        <f>#REF!+#REF!+#REF!+#REF!+#REF!+#REF!+#REF!+#REF!+#REF!+#REF!+#REF!+#REF!+#REF!+#REF!+#REF!+#REF!+#REF!+#REF!+#REF!+#REF!+#REF!+#REF!+#REF!+#REF!</f>
        <v>#REF!</v>
      </c>
      <c r="CX80" s="4" t="s">
        <v>20</v>
      </c>
      <c r="CY80" s="43" t="e">
        <f t="shared" si="84"/>
        <v>#REF!</v>
      </c>
      <c r="DB80" s="152" t="e">
        <v>#REF!</v>
      </c>
      <c r="DC80" s="149" t="s">
        <v>20</v>
      </c>
      <c r="DD80" s="145" t="e">
        <v>#REF!</v>
      </c>
      <c r="DG80" s="160" t="e">
        <v>#REF!</v>
      </c>
      <c r="DH80" s="160" t="s">
        <v>20</v>
      </c>
      <c r="DI80" s="160" t="e">
        <v>#REF!</v>
      </c>
      <c r="DJ80" s="160"/>
      <c r="DL80" s="42" t="e">
        <f>#REF!+#REF!+#REF!+#REF!+#REF!+#REF!+#REF!+#REF!+#REF!+#REF!+#REF!+#REF!+#REF!+#REF!+#REF!+#REF!+#REF!+#REF!+#REF!+#REF!+#REF!+#REF!+#REF!+#REF!</f>
        <v>#REF!</v>
      </c>
      <c r="DM80" s="4" t="s">
        <v>20</v>
      </c>
      <c r="DN80" s="43" t="e">
        <f t="shared" si="87"/>
        <v>#REF!</v>
      </c>
      <c r="DQ80" s="42" t="e">
        <f>#REF!+#REF!+#REF!+#REF!+#REF!+#REF!+#REF!+#REF!+#REF!+#REF!+#REF!+#REF!+#REF!+#REF!+#REF!+#REF!+#REF!+#REF!+#REF!+#REF!+#REF!+#REF!+#REF!+#REF!</f>
        <v>#REF!</v>
      </c>
      <c r="DR80" s="4" t="s">
        <v>20</v>
      </c>
      <c r="DS80" s="43" t="e">
        <f t="shared" si="88"/>
        <v>#REF!</v>
      </c>
    </row>
    <row r="81" spans="1:123" ht="16.5" customHeight="1" hidden="1">
      <c r="A81" s="63"/>
      <c r="C81" s="63" t="s">
        <v>12</v>
      </c>
      <c r="D81" s="42">
        <f t="shared" si="85"/>
        <v>0.5</v>
      </c>
      <c r="E81" s="8" t="s">
        <v>19</v>
      </c>
      <c r="F81" s="43">
        <f t="shared" si="89"/>
        <v>548</v>
      </c>
      <c r="G81" s="59">
        <f t="shared" si="86"/>
        <v>274</v>
      </c>
      <c r="CA81" s="59">
        <v>0.5</v>
      </c>
      <c r="CB81" s="59">
        <f>274</f>
        <v>274</v>
      </c>
      <c r="CC81" s="52">
        <f t="shared" si="90"/>
        <v>548</v>
      </c>
      <c r="CD81" s="33"/>
      <c r="CP81" s="80">
        <f t="shared" si="83"/>
        <v>0</v>
      </c>
      <c r="CR81" s="152" t="e">
        <v>#REF!</v>
      </c>
      <c r="CS81" s="146" t="s">
        <v>19</v>
      </c>
      <c r="CT81" s="145" t="e">
        <v>#REF!</v>
      </c>
      <c r="CW81" s="42" t="e">
        <f>#REF!+#REF!+#REF!+#REF!+#REF!+#REF!+#REF!+#REF!+#REF!+#REF!+#REF!+#REF!+#REF!+#REF!+#REF!+#REF!+#REF!+#REF!+#REF!+#REF!+#REF!+#REF!+#REF!+#REF!</f>
        <v>#REF!</v>
      </c>
      <c r="CX81" s="8" t="s">
        <v>19</v>
      </c>
      <c r="CY81" s="43" t="e">
        <f t="shared" si="84"/>
        <v>#REF!</v>
      </c>
      <c r="DB81" s="152" t="e">
        <v>#REF!</v>
      </c>
      <c r="DC81" s="146" t="s">
        <v>19</v>
      </c>
      <c r="DD81" s="145" t="e">
        <v>#REF!</v>
      </c>
      <c r="DG81" s="160" t="e">
        <v>#REF!</v>
      </c>
      <c r="DH81" s="160" t="s">
        <v>19</v>
      </c>
      <c r="DI81" s="160" t="e">
        <v>#REF!</v>
      </c>
      <c r="DJ81" s="160"/>
      <c r="DL81" s="42" t="e">
        <f>#REF!+#REF!+#REF!+#REF!+#REF!+#REF!+#REF!+#REF!+#REF!+#REF!+#REF!+#REF!+#REF!+#REF!+#REF!+#REF!+#REF!+#REF!+#REF!+#REF!+#REF!+#REF!+#REF!+#REF!</f>
        <v>#REF!</v>
      </c>
      <c r="DM81" s="8" t="s">
        <v>19</v>
      </c>
      <c r="DN81" s="43" t="e">
        <f t="shared" si="87"/>
        <v>#REF!</v>
      </c>
      <c r="DQ81" s="42" t="e">
        <f>#REF!+#REF!+#REF!+#REF!+#REF!+#REF!+#REF!+#REF!+#REF!+#REF!+#REF!+#REF!+#REF!+#REF!+#REF!+#REF!+#REF!+#REF!+#REF!+#REF!+#REF!+#REF!+#REF!+#REF!</f>
        <v>#REF!</v>
      </c>
      <c r="DR81" s="8" t="s">
        <v>19</v>
      </c>
      <c r="DS81" s="43" t="e">
        <f t="shared" si="88"/>
        <v>#REF!</v>
      </c>
    </row>
    <row r="82" spans="1:123" ht="16.5" customHeight="1" hidden="1">
      <c r="A82" s="63"/>
      <c r="C82" s="63" t="s">
        <v>127</v>
      </c>
      <c r="D82" s="42">
        <f t="shared" si="85"/>
        <v>0.6</v>
      </c>
      <c r="E82" s="8" t="s">
        <v>19</v>
      </c>
      <c r="F82" s="43">
        <f t="shared" si="89"/>
        <v>548</v>
      </c>
      <c r="G82" s="59">
        <f t="shared" si="86"/>
        <v>328.8</v>
      </c>
      <c r="CA82" s="59">
        <v>0.6</v>
      </c>
      <c r="CB82" s="59">
        <v>328.8</v>
      </c>
      <c r="CC82" s="52">
        <f t="shared" si="90"/>
        <v>548</v>
      </c>
      <c r="CD82" s="33"/>
      <c r="CP82" s="80">
        <f t="shared" si="83"/>
        <v>0</v>
      </c>
      <c r="CR82" s="152" t="e">
        <v>#REF!</v>
      </c>
      <c r="CS82" s="146" t="s">
        <v>19</v>
      </c>
      <c r="CT82" s="145" t="e">
        <v>#REF!</v>
      </c>
      <c r="CW82" s="42" t="e">
        <f>#REF!+#REF!+#REF!+#REF!+#REF!+#REF!+#REF!+#REF!+#REF!+#REF!+#REF!+#REF!+#REF!+#REF!+#REF!+#REF!+#REF!+#REF!+#REF!+#REF!+#REF!+#REF!+#REF!+#REF!</f>
        <v>#REF!</v>
      </c>
      <c r="CX82" s="8" t="s">
        <v>19</v>
      </c>
      <c r="CY82" s="43" t="e">
        <f t="shared" si="84"/>
        <v>#REF!</v>
      </c>
      <c r="DB82" s="152" t="e">
        <v>#REF!</v>
      </c>
      <c r="DC82" s="146" t="s">
        <v>19</v>
      </c>
      <c r="DD82" s="145" t="e">
        <v>#REF!</v>
      </c>
      <c r="DG82" s="160" t="e">
        <v>#REF!</v>
      </c>
      <c r="DH82" s="160" t="s">
        <v>19</v>
      </c>
      <c r="DI82" s="160" t="e">
        <v>#REF!</v>
      </c>
      <c r="DJ82" s="160"/>
      <c r="DL82" s="42" t="e">
        <f>#REF!+#REF!+#REF!+#REF!+#REF!+#REF!+#REF!+#REF!+#REF!+#REF!+#REF!+#REF!+#REF!+#REF!+#REF!+#REF!+#REF!+#REF!+#REF!+#REF!+#REF!+#REF!+#REF!+#REF!</f>
        <v>#REF!</v>
      </c>
      <c r="DM82" s="8" t="s">
        <v>19</v>
      </c>
      <c r="DN82" s="43" t="e">
        <f t="shared" si="87"/>
        <v>#REF!</v>
      </c>
      <c r="DQ82" s="42" t="e">
        <f>#REF!+#REF!+#REF!+#REF!+#REF!+#REF!+#REF!+#REF!+#REF!+#REF!+#REF!+#REF!+#REF!+#REF!+#REF!+#REF!+#REF!+#REF!+#REF!+#REF!+#REF!+#REF!+#REF!+#REF!</f>
        <v>#REF!</v>
      </c>
      <c r="DR82" s="8" t="s">
        <v>19</v>
      </c>
      <c r="DS82" s="43" t="e">
        <f t="shared" si="88"/>
        <v>#REF!</v>
      </c>
    </row>
    <row r="83" spans="1:124" ht="15" customHeight="1" hidden="1">
      <c r="A83" s="59" t="s">
        <v>270</v>
      </c>
      <c r="D83" s="91">
        <f>SUM(D74:D82)</f>
        <v>21.700000000000003</v>
      </c>
      <c r="E83" s="91">
        <f>SUM(E74:E82)</f>
        <v>0</v>
      </c>
      <c r="F83" s="92">
        <f t="shared" si="89"/>
        <v>453.81566820276487</v>
      </c>
      <c r="G83" s="36">
        <f>SUM(G74:G82)</f>
        <v>9847.8</v>
      </c>
      <c r="H83" s="36"/>
      <c r="CA83" s="81">
        <f>SUM(CA74:CA82)</f>
        <v>12.7</v>
      </c>
      <c r="CB83" s="81">
        <f>SUM(CB74:CB82)</f>
        <v>6091.8</v>
      </c>
      <c r="CC83" s="52">
        <f t="shared" si="90"/>
        <v>479.6692913385827</v>
      </c>
      <c r="CD83" s="33"/>
      <c r="CP83" s="80">
        <f t="shared" si="83"/>
        <v>0</v>
      </c>
      <c r="CR83" s="154" t="e">
        <v>#REF!</v>
      </c>
      <c r="CS83" s="154">
        <v>0</v>
      </c>
      <c r="CT83" s="145" t="e">
        <v>#REF!</v>
      </c>
      <c r="CU83" s="155"/>
      <c r="CW83" s="91" t="e">
        <f>SUM(CW74:CW82)</f>
        <v>#REF!</v>
      </c>
      <c r="CX83" s="91">
        <f>SUM(CX74:CX82)</f>
        <v>0</v>
      </c>
      <c r="CY83" s="43" t="e">
        <f t="shared" si="84"/>
        <v>#REF!</v>
      </c>
      <c r="CZ83" s="36"/>
      <c r="DB83" s="154" t="e">
        <v>#REF!</v>
      </c>
      <c r="DC83" s="154">
        <v>0</v>
      </c>
      <c r="DD83" s="145" t="e">
        <v>#REF!</v>
      </c>
      <c r="DE83" s="155"/>
      <c r="DG83" s="160" t="e">
        <v>#REF!</v>
      </c>
      <c r="DH83" s="160">
        <v>0</v>
      </c>
      <c r="DI83" s="160" t="e">
        <v>#REF!</v>
      </c>
      <c r="DJ83" s="160"/>
      <c r="DL83" s="91" t="e">
        <f>SUM(DL74:DL82)</f>
        <v>#REF!</v>
      </c>
      <c r="DM83" s="91">
        <f>SUM(DM74:DM82)</f>
        <v>0</v>
      </c>
      <c r="DN83" s="92" t="e">
        <f t="shared" si="87"/>
        <v>#REF!</v>
      </c>
      <c r="DO83" s="36"/>
      <c r="DQ83" s="91" t="e">
        <f>SUM(DQ74:DQ82)</f>
        <v>#REF!</v>
      </c>
      <c r="DR83" s="91">
        <f>SUM(DR74:DR82)</f>
        <v>0</v>
      </c>
      <c r="DS83" s="92" t="e">
        <f t="shared" si="88"/>
        <v>#REF!</v>
      </c>
      <c r="DT83" s="36"/>
    </row>
    <row r="84" spans="94:123" ht="15" customHeight="1" hidden="1">
      <c r="CP84" s="80">
        <f t="shared" si="83"/>
        <v>0</v>
      </c>
      <c r="CR84" s="153"/>
      <c r="CS84" s="153"/>
      <c r="CT84" s="145" t="e">
        <v>#DIV/0!</v>
      </c>
      <c r="CW84" s="60"/>
      <c r="CX84" s="60"/>
      <c r="CY84" s="43" t="e">
        <f t="shared" si="84"/>
        <v>#DIV/0!</v>
      </c>
      <c r="DB84" s="153"/>
      <c r="DC84" s="153"/>
      <c r="DD84" s="145" t="e">
        <v>#DIV/0!</v>
      </c>
      <c r="DG84" s="160"/>
      <c r="DH84" s="160"/>
      <c r="DI84" s="160"/>
      <c r="DJ84" s="160"/>
      <c r="DL84" s="60"/>
      <c r="DM84" s="60"/>
      <c r="DN84" s="60"/>
      <c r="DQ84" s="60"/>
      <c r="DR84" s="60"/>
      <c r="DS84" s="60"/>
    </row>
    <row r="85" spans="1:123" ht="15" customHeight="1" hidden="1">
      <c r="A85" s="59" t="s">
        <v>301</v>
      </c>
      <c r="D85" s="60">
        <f>D72-D83</f>
        <v>283.65000000000003</v>
      </c>
      <c r="E85" s="60">
        <f>E72-E83</f>
        <v>0</v>
      </c>
      <c r="F85" s="60">
        <f>F72-F83</f>
        <v>9.89839762333628</v>
      </c>
      <c r="G85" s="59">
        <f>G72-G83</f>
        <v>131747.29</v>
      </c>
      <c r="CP85" s="80">
        <f t="shared" si="83"/>
        <v>0</v>
      </c>
      <c r="CR85" s="153" t="e">
        <v>#REF!</v>
      </c>
      <c r="CS85" s="153">
        <v>0</v>
      </c>
      <c r="CT85" s="145" t="e">
        <v>#REF!</v>
      </c>
      <c r="CW85" s="60" t="e">
        <f>CW72-CW83</f>
        <v>#REF!</v>
      </c>
      <c r="CX85" s="60">
        <f>CX72-CX83</f>
        <v>0</v>
      </c>
      <c r="CY85" s="43" t="e">
        <f t="shared" si="84"/>
        <v>#REF!</v>
      </c>
      <c r="DB85" s="153" t="e">
        <v>#REF!</v>
      </c>
      <c r="DC85" s="153">
        <v>0</v>
      </c>
      <c r="DD85" s="145" t="e">
        <v>#REF!</v>
      </c>
      <c r="DG85" s="160" t="e">
        <v>#REF!</v>
      </c>
      <c r="DH85" s="160">
        <v>0</v>
      </c>
      <c r="DI85" s="160" t="e">
        <v>#REF!</v>
      </c>
      <c r="DJ85" s="160"/>
      <c r="DL85" s="60" t="e">
        <f>DL72-DL83</f>
        <v>#REF!</v>
      </c>
      <c r="DM85" s="60">
        <f>DM72-DM83</f>
        <v>0</v>
      </c>
      <c r="DN85" s="60" t="e">
        <f>DN72-DN83</f>
        <v>#REF!</v>
      </c>
      <c r="DQ85" s="60" t="e">
        <f>DQ72-DQ83</f>
        <v>#REF!</v>
      </c>
      <c r="DR85" s="60">
        <f>DR72-DR83</f>
        <v>0</v>
      </c>
      <c r="DS85" s="60" t="e">
        <f>DS72-DS83</f>
        <v>#REF!</v>
      </c>
    </row>
    <row r="86" spans="94:123" ht="15" customHeight="1" hidden="1">
      <c r="CP86" s="80">
        <f t="shared" si="83"/>
        <v>0</v>
      </c>
      <c r="CR86" s="153"/>
      <c r="CS86" s="153"/>
      <c r="CT86" s="145" t="e">
        <v>#DIV/0!</v>
      </c>
      <c r="CW86" s="60"/>
      <c r="CX86" s="60"/>
      <c r="CY86" s="43" t="e">
        <f t="shared" si="84"/>
        <v>#DIV/0!</v>
      </c>
      <c r="DB86" s="153"/>
      <c r="DC86" s="153"/>
      <c r="DD86" s="145" t="e">
        <v>#DIV/0!</v>
      </c>
      <c r="DG86" s="160"/>
      <c r="DH86" s="160"/>
      <c r="DI86" s="160"/>
      <c r="DJ86" s="160"/>
      <c r="DL86" s="60"/>
      <c r="DM86" s="60"/>
      <c r="DN86" s="60"/>
      <c r="DQ86" s="60"/>
      <c r="DR86" s="60"/>
      <c r="DS86" s="60"/>
    </row>
    <row r="87" spans="94:123" ht="15" customHeight="1" hidden="1">
      <c r="CP87" s="80">
        <f t="shared" si="83"/>
        <v>0</v>
      </c>
      <c r="CR87" s="153"/>
      <c r="CS87" s="153"/>
      <c r="CT87" s="145" t="e">
        <v>#DIV/0!</v>
      </c>
      <c r="CW87" s="60"/>
      <c r="CX87" s="60"/>
      <c r="CY87" s="43" t="e">
        <f t="shared" si="84"/>
        <v>#DIV/0!</v>
      </c>
      <c r="DB87" s="153"/>
      <c r="DC87" s="153"/>
      <c r="DD87" s="145" t="e">
        <v>#DIV/0!</v>
      </c>
      <c r="DG87" s="160"/>
      <c r="DH87" s="160"/>
      <c r="DI87" s="160"/>
      <c r="DJ87" s="160"/>
      <c r="DL87" s="60"/>
      <c r="DM87" s="60"/>
      <c r="DN87" s="60"/>
      <c r="DQ87" s="60"/>
      <c r="DR87" s="60"/>
      <c r="DS87" s="60"/>
    </row>
    <row r="88" spans="94:123" ht="15" customHeight="1" hidden="1">
      <c r="CP88" s="80">
        <f t="shared" si="83"/>
        <v>0</v>
      </c>
      <c r="CR88" s="153"/>
      <c r="CS88" s="153"/>
      <c r="CT88" s="145" t="e">
        <v>#DIV/0!</v>
      </c>
      <c r="CW88" s="60"/>
      <c r="CX88" s="60"/>
      <c r="CY88" s="43" t="e">
        <f t="shared" si="84"/>
        <v>#DIV/0!</v>
      </c>
      <c r="DB88" s="153"/>
      <c r="DC88" s="153"/>
      <c r="DD88" s="145" t="e">
        <v>#DIV/0!</v>
      </c>
      <c r="DG88" s="160"/>
      <c r="DH88" s="160"/>
      <c r="DI88" s="160"/>
      <c r="DJ88" s="160"/>
      <c r="DL88" s="60"/>
      <c r="DM88" s="60"/>
      <c r="DN88" s="60"/>
      <c r="DQ88" s="60"/>
      <c r="DR88" s="60"/>
      <c r="DS88" s="60"/>
    </row>
    <row r="89" spans="94:123" ht="15" customHeight="1" hidden="1">
      <c r="CP89" s="80">
        <f t="shared" si="83"/>
        <v>0</v>
      </c>
      <c r="CR89" s="153"/>
      <c r="CS89" s="153"/>
      <c r="CT89" s="145" t="e">
        <v>#DIV/0!</v>
      </c>
      <c r="CW89" s="60"/>
      <c r="CX89" s="60"/>
      <c r="CY89" s="43" t="e">
        <f t="shared" si="84"/>
        <v>#DIV/0!</v>
      </c>
      <c r="DB89" s="153"/>
      <c r="DC89" s="153"/>
      <c r="DD89" s="145" t="e">
        <v>#DIV/0!</v>
      </c>
      <c r="DG89" s="160"/>
      <c r="DH89" s="160"/>
      <c r="DI89" s="160"/>
      <c r="DJ89" s="160"/>
      <c r="DL89" s="60"/>
      <c r="DM89" s="60"/>
      <c r="DN89" s="60"/>
      <c r="DQ89" s="60"/>
      <c r="DR89" s="60"/>
      <c r="DS89" s="60"/>
    </row>
    <row r="90" spans="94:123" ht="15" customHeight="1" hidden="1">
      <c r="CP90" s="80">
        <f t="shared" si="83"/>
        <v>0</v>
      </c>
      <c r="CR90" s="153"/>
      <c r="CS90" s="153"/>
      <c r="CT90" s="145" t="e">
        <v>#DIV/0!</v>
      </c>
      <c r="CW90" s="60"/>
      <c r="CX90" s="60"/>
      <c r="CY90" s="43" t="e">
        <f t="shared" si="84"/>
        <v>#DIV/0!</v>
      </c>
      <c r="DB90" s="153"/>
      <c r="DC90" s="153"/>
      <c r="DD90" s="145" t="e">
        <v>#DIV/0!</v>
      </c>
      <c r="DG90" s="160"/>
      <c r="DH90" s="160"/>
      <c r="DI90" s="160"/>
      <c r="DJ90" s="160"/>
      <c r="DL90" s="60"/>
      <c r="DM90" s="60"/>
      <c r="DN90" s="60"/>
      <c r="DQ90" s="60"/>
      <c r="DR90" s="60"/>
      <c r="DS90" s="60"/>
    </row>
    <row r="91" spans="94:123" ht="15" customHeight="1" hidden="1">
      <c r="CP91" s="80">
        <f t="shared" si="83"/>
        <v>0</v>
      </c>
      <c r="CR91" s="153"/>
      <c r="CS91" s="153"/>
      <c r="CT91" s="145" t="e">
        <v>#DIV/0!</v>
      </c>
      <c r="CW91" s="60"/>
      <c r="CX91" s="60"/>
      <c r="CY91" s="43" t="e">
        <f t="shared" si="84"/>
        <v>#DIV/0!</v>
      </c>
      <c r="DB91" s="153"/>
      <c r="DC91" s="153"/>
      <c r="DD91" s="145" t="e">
        <v>#DIV/0!</v>
      </c>
      <c r="DG91" s="160"/>
      <c r="DH91" s="160"/>
      <c r="DI91" s="160"/>
      <c r="DJ91" s="160"/>
      <c r="DL91" s="60"/>
      <c r="DM91" s="60"/>
      <c r="DN91" s="60"/>
      <c r="DQ91" s="60"/>
      <c r="DR91" s="60"/>
      <c r="DS91" s="60"/>
    </row>
    <row r="92" spans="94:123" ht="15" customHeight="1" hidden="1">
      <c r="CP92" s="80">
        <f t="shared" si="83"/>
        <v>0</v>
      </c>
      <c r="CR92" s="153"/>
      <c r="CS92" s="153"/>
      <c r="CT92" s="145" t="e">
        <v>#DIV/0!</v>
      </c>
      <c r="CW92" s="60"/>
      <c r="CX92" s="60"/>
      <c r="CY92" s="43" t="e">
        <f t="shared" si="84"/>
        <v>#DIV/0!</v>
      </c>
      <c r="DB92" s="153"/>
      <c r="DC92" s="153"/>
      <c r="DD92" s="145" t="e">
        <v>#DIV/0!</v>
      </c>
      <c r="DG92" s="160"/>
      <c r="DH92" s="160"/>
      <c r="DI92" s="160"/>
      <c r="DJ92" s="160"/>
      <c r="DL92" s="60"/>
      <c r="DM92" s="60"/>
      <c r="DN92" s="60"/>
      <c r="DQ92" s="60"/>
      <c r="DR92" s="60"/>
      <c r="DS92" s="60"/>
    </row>
    <row r="93" spans="94:123" ht="15" customHeight="1" hidden="1">
      <c r="CP93" s="80">
        <f t="shared" si="83"/>
        <v>0</v>
      </c>
      <c r="CR93" s="153"/>
      <c r="CS93" s="153"/>
      <c r="CT93" s="145" t="e">
        <v>#DIV/0!</v>
      </c>
      <c r="CW93" s="60"/>
      <c r="CX93" s="60"/>
      <c r="CY93" s="43" t="e">
        <f t="shared" si="84"/>
        <v>#DIV/0!</v>
      </c>
      <c r="DB93" s="153"/>
      <c r="DC93" s="153"/>
      <c r="DD93" s="145" t="e">
        <v>#DIV/0!</v>
      </c>
      <c r="DG93" s="160"/>
      <c r="DH93" s="160"/>
      <c r="DI93" s="160"/>
      <c r="DJ93" s="160"/>
      <c r="DL93" s="60"/>
      <c r="DM93" s="60"/>
      <c r="DN93" s="60"/>
      <c r="DQ93" s="60"/>
      <c r="DR93" s="60"/>
      <c r="DS93" s="60"/>
    </row>
    <row r="94" spans="94:123" ht="15" customHeight="1" hidden="1">
      <c r="CP94" s="80">
        <f t="shared" si="83"/>
        <v>0</v>
      </c>
      <c r="CR94" s="153"/>
      <c r="CS94" s="153"/>
      <c r="CT94" s="145" t="e">
        <v>#DIV/0!</v>
      </c>
      <c r="CW94" s="60"/>
      <c r="CX94" s="60"/>
      <c r="CY94" s="43" t="e">
        <f t="shared" si="84"/>
        <v>#DIV/0!</v>
      </c>
      <c r="DB94" s="153"/>
      <c r="DC94" s="153"/>
      <c r="DD94" s="145" t="e">
        <v>#DIV/0!</v>
      </c>
      <c r="DG94" s="160"/>
      <c r="DH94" s="160"/>
      <c r="DI94" s="160"/>
      <c r="DJ94" s="160"/>
      <c r="DL94" s="60"/>
      <c r="DM94" s="60"/>
      <c r="DN94" s="60"/>
      <c r="DQ94" s="60"/>
      <c r="DR94" s="60"/>
      <c r="DS94" s="60"/>
    </row>
    <row r="95" spans="94:123" ht="15" customHeight="1" hidden="1">
      <c r="CP95" s="80">
        <f t="shared" si="83"/>
        <v>0</v>
      </c>
      <c r="CR95" s="153"/>
      <c r="CS95" s="153"/>
      <c r="CT95" s="145" t="e">
        <v>#DIV/0!</v>
      </c>
      <c r="CW95" s="60"/>
      <c r="CX95" s="60"/>
      <c r="CY95" s="43" t="e">
        <f t="shared" si="84"/>
        <v>#DIV/0!</v>
      </c>
      <c r="DB95" s="153"/>
      <c r="DC95" s="153"/>
      <c r="DD95" s="145" t="e">
        <v>#DIV/0!</v>
      </c>
      <c r="DG95" s="160"/>
      <c r="DH95" s="160"/>
      <c r="DI95" s="160"/>
      <c r="DJ95" s="160"/>
      <c r="DL95" s="60"/>
      <c r="DM95" s="60"/>
      <c r="DN95" s="60"/>
      <c r="DQ95" s="60"/>
      <c r="DR95" s="60"/>
      <c r="DS95" s="60"/>
    </row>
    <row r="96" spans="94:123" ht="15" customHeight="1" hidden="1">
      <c r="CP96" s="80">
        <f t="shared" si="83"/>
        <v>0</v>
      </c>
      <c r="CR96" s="153"/>
      <c r="CS96" s="153"/>
      <c r="CT96" s="145" t="e">
        <v>#DIV/0!</v>
      </c>
      <c r="CW96" s="60"/>
      <c r="CX96" s="60"/>
      <c r="CY96" s="43" t="e">
        <f t="shared" si="84"/>
        <v>#DIV/0!</v>
      </c>
      <c r="DB96" s="153"/>
      <c r="DC96" s="153"/>
      <c r="DD96" s="145" t="e">
        <v>#DIV/0!</v>
      </c>
      <c r="DG96" s="160"/>
      <c r="DH96" s="160"/>
      <c r="DI96" s="160"/>
      <c r="DJ96" s="160"/>
      <c r="DL96" s="60"/>
      <c r="DM96" s="60"/>
      <c r="DN96" s="60"/>
      <c r="DQ96" s="60"/>
      <c r="DR96" s="60"/>
      <c r="DS96" s="60"/>
    </row>
    <row r="97" spans="94:123" ht="15" customHeight="1" hidden="1">
      <c r="CP97" s="80">
        <f t="shared" si="83"/>
        <v>0</v>
      </c>
      <c r="CR97" s="153"/>
      <c r="CS97" s="153"/>
      <c r="CT97" s="145" t="e">
        <v>#DIV/0!</v>
      </c>
      <c r="CW97" s="60"/>
      <c r="CX97" s="60"/>
      <c r="CY97" s="43" t="e">
        <f t="shared" si="84"/>
        <v>#DIV/0!</v>
      </c>
      <c r="DB97" s="153"/>
      <c r="DC97" s="153"/>
      <c r="DD97" s="145" t="e">
        <v>#DIV/0!</v>
      </c>
      <c r="DG97" s="160"/>
      <c r="DH97" s="160"/>
      <c r="DI97" s="160"/>
      <c r="DJ97" s="160"/>
      <c r="DL97" s="60"/>
      <c r="DM97" s="60"/>
      <c r="DN97" s="60"/>
      <c r="DQ97" s="60"/>
      <c r="DR97" s="60"/>
      <c r="DS97" s="60"/>
    </row>
    <row r="98" spans="82:123" ht="15" customHeight="1" hidden="1">
      <c r="CD98" s="59"/>
      <c r="CP98" s="80">
        <f t="shared" si="83"/>
        <v>0</v>
      </c>
      <c r="CR98" s="153"/>
      <c r="CS98" s="153"/>
      <c r="CT98" s="145" t="e">
        <v>#DIV/0!</v>
      </c>
      <c r="CW98" s="60"/>
      <c r="CX98" s="60"/>
      <c r="CY98" s="43" t="e">
        <f t="shared" si="84"/>
        <v>#DIV/0!</v>
      </c>
      <c r="DB98" s="153"/>
      <c r="DC98" s="153"/>
      <c r="DD98" s="145" t="e">
        <v>#DIV/0!</v>
      </c>
      <c r="DG98" s="160"/>
      <c r="DH98" s="160"/>
      <c r="DI98" s="160"/>
      <c r="DJ98" s="160"/>
      <c r="DL98" s="60"/>
      <c r="DM98" s="60"/>
      <c r="DN98" s="60"/>
      <c r="DQ98" s="60"/>
      <c r="DR98" s="60"/>
      <c r="DS98" s="60"/>
    </row>
    <row r="99" spans="82:123" ht="15" customHeight="1" hidden="1">
      <c r="CD99" s="59"/>
      <c r="CP99" s="80">
        <f t="shared" si="83"/>
        <v>0</v>
      </c>
      <c r="CR99" s="153"/>
      <c r="CS99" s="153"/>
      <c r="CT99" s="145" t="e">
        <v>#DIV/0!</v>
      </c>
      <c r="CW99" s="60"/>
      <c r="CX99" s="60"/>
      <c r="CY99" s="43" t="e">
        <f t="shared" si="84"/>
        <v>#DIV/0!</v>
      </c>
      <c r="DB99" s="153"/>
      <c r="DC99" s="153"/>
      <c r="DD99" s="145" t="e">
        <v>#DIV/0!</v>
      </c>
      <c r="DG99" s="160"/>
      <c r="DH99" s="160"/>
      <c r="DI99" s="160"/>
      <c r="DJ99" s="160"/>
      <c r="DL99" s="60"/>
      <c r="DM99" s="60"/>
      <c r="DN99" s="60"/>
      <c r="DQ99" s="60"/>
      <c r="DR99" s="60"/>
      <c r="DS99" s="60"/>
    </row>
    <row r="100" spans="82:123" ht="15" customHeight="1" hidden="1">
      <c r="CD100" s="59"/>
      <c r="CP100" s="80">
        <f t="shared" si="83"/>
        <v>0</v>
      </c>
      <c r="CR100" s="153"/>
      <c r="CS100" s="153"/>
      <c r="CT100" s="145" t="e">
        <v>#DIV/0!</v>
      </c>
      <c r="CW100" s="60"/>
      <c r="CX100" s="60"/>
      <c r="CY100" s="43" t="e">
        <f t="shared" si="84"/>
        <v>#DIV/0!</v>
      </c>
      <c r="DB100" s="153"/>
      <c r="DC100" s="153"/>
      <c r="DD100" s="145" t="e">
        <v>#DIV/0!</v>
      </c>
      <c r="DG100" s="160"/>
      <c r="DH100" s="160"/>
      <c r="DI100" s="160"/>
      <c r="DJ100" s="160"/>
      <c r="DL100" s="60"/>
      <c r="DM100" s="60"/>
      <c r="DN100" s="60"/>
      <c r="DQ100" s="60"/>
      <c r="DR100" s="60"/>
      <c r="DS100" s="60"/>
    </row>
    <row r="101" spans="82:123" ht="15" customHeight="1" hidden="1">
      <c r="CD101" s="59"/>
      <c r="CP101" s="80">
        <f t="shared" si="83"/>
        <v>0</v>
      </c>
      <c r="CR101" s="153"/>
      <c r="CS101" s="153"/>
      <c r="CT101" s="145" t="e">
        <v>#DIV/0!</v>
      </c>
      <c r="CW101" s="60"/>
      <c r="CX101" s="60"/>
      <c r="CY101" s="43" t="e">
        <f t="shared" si="84"/>
        <v>#DIV/0!</v>
      </c>
      <c r="DB101" s="153"/>
      <c r="DC101" s="153"/>
      <c r="DD101" s="145" t="e">
        <v>#DIV/0!</v>
      </c>
      <c r="DG101" s="160"/>
      <c r="DH101" s="160"/>
      <c r="DI101" s="160"/>
      <c r="DJ101" s="160"/>
      <c r="DL101" s="60"/>
      <c r="DM101" s="60"/>
      <c r="DN101" s="60"/>
      <c r="DQ101" s="60"/>
      <c r="DR101" s="60"/>
      <c r="DS101" s="60"/>
    </row>
    <row r="102" spans="82:123" ht="15" customHeight="1" hidden="1">
      <c r="CD102" s="59"/>
      <c r="CP102" s="80">
        <f t="shared" si="83"/>
        <v>0</v>
      </c>
      <c r="CR102" s="153"/>
      <c r="CS102" s="153"/>
      <c r="CT102" s="145" t="e">
        <v>#DIV/0!</v>
      </c>
      <c r="CW102" s="60"/>
      <c r="CX102" s="60"/>
      <c r="CY102" s="43" t="e">
        <f t="shared" si="84"/>
        <v>#DIV/0!</v>
      </c>
      <c r="DB102" s="153"/>
      <c r="DC102" s="153"/>
      <c r="DD102" s="145" t="e">
        <v>#DIV/0!</v>
      </c>
      <c r="DG102" s="160"/>
      <c r="DH102" s="160"/>
      <c r="DI102" s="160"/>
      <c r="DJ102" s="160"/>
      <c r="DL102" s="60"/>
      <c r="DM102" s="60"/>
      <c r="DN102" s="60"/>
      <c r="DQ102" s="60"/>
      <c r="DR102" s="60"/>
      <c r="DS102" s="60"/>
    </row>
    <row r="103" spans="82:123" ht="15" customHeight="1" hidden="1">
      <c r="CD103" s="59"/>
      <c r="CP103" s="80">
        <f t="shared" si="83"/>
        <v>0</v>
      </c>
      <c r="CR103" s="153"/>
      <c r="CS103" s="153"/>
      <c r="CT103" s="145" t="e">
        <v>#DIV/0!</v>
      </c>
      <c r="CW103" s="60"/>
      <c r="CX103" s="60"/>
      <c r="CY103" s="43" t="e">
        <f t="shared" si="84"/>
        <v>#DIV/0!</v>
      </c>
      <c r="DB103" s="153"/>
      <c r="DC103" s="153"/>
      <c r="DD103" s="145" t="e">
        <v>#DIV/0!</v>
      </c>
      <c r="DG103" s="160"/>
      <c r="DH103" s="160"/>
      <c r="DI103" s="160"/>
      <c r="DJ103" s="160"/>
      <c r="DL103" s="60"/>
      <c r="DM103" s="60"/>
      <c r="DN103" s="60"/>
      <c r="DQ103" s="60"/>
      <c r="DR103" s="60"/>
      <c r="DS103" s="60"/>
    </row>
    <row r="104" spans="82:123" ht="15" customHeight="1" hidden="1">
      <c r="CD104" s="59"/>
      <c r="CP104" s="80">
        <f t="shared" si="83"/>
        <v>0</v>
      </c>
      <c r="CR104" s="153"/>
      <c r="CS104" s="153"/>
      <c r="CT104" s="145" t="e">
        <v>#DIV/0!</v>
      </c>
      <c r="CW104" s="60"/>
      <c r="CX104" s="60"/>
      <c r="CY104" s="43" t="e">
        <f t="shared" si="84"/>
        <v>#DIV/0!</v>
      </c>
      <c r="DB104" s="153"/>
      <c r="DC104" s="153"/>
      <c r="DD104" s="145" t="e">
        <v>#DIV/0!</v>
      </c>
      <c r="DG104" s="160"/>
      <c r="DH104" s="160"/>
      <c r="DI104" s="160"/>
      <c r="DJ104" s="160"/>
      <c r="DL104" s="60"/>
      <c r="DM104" s="60"/>
      <c r="DN104" s="60"/>
      <c r="DQ104" s="60"/>
      <c r="DR104" s="60"/>
      <c r="DS104" s="60"/>
    </row>
    <row r="105" spans="82:123" ht="15" customHeight="1" hidden="1">
      <c r="CD105" s="59"/>
      <c r="CP105" s="80">
        <f t="shared" si="83"/>
        <v>0</v>
      </c>
      <c r="CR105" s="153"/>
      <c r="CS105" s="153"/>
      <c r="CT105" s="145" t="e">
        <v>#DIV/0!</v>
      </c>
      <c r="CW105" s="60"/>
      <c r="CX105" s="60"/>
      <c r="CY105" s="43" t="e">
        <f t="shared" si="84"/>
        <v>#DIV/0!</v>
      </c>
      <c r="DB105" s="153"/>
      <c r="DC105" s="153"/>
      <c r="DD105" s="145" t="e">
        <v>#DIV/0!</v>
      </c>
      <c r="DG105" s="160"/>
      <c r="DH105" s="160"/>
      <c r="DI105" s="160"/>
      <c r="DJ105" s="160"/>
      <c r="DL105" s="60"/>
      <c r="DM105" s="60"/>
      <c r="DN105" s="60"/>
      <c r="DQ105" s="60"/>
      <c r="DR105" s="60"/>
      <c r="DS105" s="60"/>
    </row>
    <row r="106" spans="82:123" ht="15" customHeight="1" hidden="1">
      <c r="CD106" s="59"/>
      <c r="CP106" s="80">
        <f t="shared" si="83"/>
        <v>0</v>
      </c>
      <c r="CR106" s="153"/>
      <c r="CS106" s="153"/>
      <c r="CT106" s="145" t="e">
        <v>#DIV/0!</v>
      </c>
      <c r="CW106" s="60"/>
      <c r="CX106" s="60"/>
      <c r="CY106" s="43" t="e">
        <f t="shared" si="84"/>
        <v>#DIV/0!</v>
      </c>
      <c r="DB106" s="153"/>
      <c r="DC106" s="153"/>
      <c r="DD106" s="145" t="e">
        <v>#DIV/0!</v>
      </c>
      <c r="DG106" s="160"/>
      <c r="DH106" s="160"/>
      <c r="DI106" s="160"/>
      <c r="DJ106" s="160"/>
      <c r="DL106" s="60"/>
      <c r="DM106" s="60"/>
      <c r="DN106" s="60"/>
      <c r="DQ106" s="60"/>
      <c r="DR106" s="60"/>
      <c r="DS106" s="60"/>
    </row>
    <row r="107" spans="82:123" ht="15" customHeight="1" hidden="1">
      <c r="CD107" s="59"/>
      <c r="CP107" s="80">
        <f t="shared" si="83"/>
        <v>0</v>
      </c>
      <c r="CR107" s="153"/>
      <c r="CS107" s="153"/>
      <c r="CT107" s="145" t="e">
        <v>#DIV/0!</v>
      </c>
      <c r="CW107" s="60"/>
      <c r="CX107" s="60"/>
      <c r="CY107" s="43" t="e">
        <f t="shared" si="84"/>
        <v>#DIV/0!</v>
      </c>
      <c r="DB107" s="153"/>
      <c r="DC107" s="153"/>
      <c r="DD107" s="145" t="e">
        <v>#DIV/0!</v>
      </c>
      <c r="DG107" s="160"/>
      <c r="DH107" s="160"/>
      <c r="DI107" s="160"/>
      <c r="DJ107" s="160"/>
      <c r="DL107" s="60"/>
      <c r="DM107" s="60"/>
      <c r="DN107" s="60"/>
      <c r="DQ107" s="60"/>
      <c r="DR107" s="60"/>
      <c r="DS107" s="60"/>
    </row>
    <row r="108" spans="82:123" ht="15" customHeight="1" hidden="1">
      <c r="CD108" s="59"/>
      <c r="CP108" s="80">
        <f t="shared" si="83"/>
        <v>0</v>
      </c>
      <c r="CR108" s="153"/>
      <c r="CS108" s="153"/>
      <c r="CT108" s="145" t="e">
        <v>#DIV/0!</v>
      </c>
      <c r="CW108" s="60"/>
      <c r="CX108" s="60"/>
      <c r="CY108" s="43" t="e">
        <f t="shared" si="84"/>
        <v>#DIV/0!</v>
      </c>
      <c r="DB108" s="153"/>
      <c r="DC108" s="153"/>
      <c r="DD108" s="145" t="e">
        <v>#DIV/0!</v>
      </c>
      <c r="DG108" s="160"/>
      <c r="DH108" s="160"/>
      <c r="DI108" s="160"/>
      <c r="DJ108" s="160"/>
      <c r="DL108" s="60"/>
      <c r="DM108" s="60"/>
      <c r="DN108" s="60"/>
      <c r="DQ108" s="60"/>
      <c r="DR108" s="60"/>
      <c r="DS108" s="60"/>
    </row>
    <row r="109" spans="82:123" ht="15" customHeight="1" hidden="1">
      <c r="CD109" s="59"/>
      <c r="CP109" s="80">
        <f t="shared" si="83"/>
        <v>0</v>
      </c>
      <c r="CR109" s="153"/>
      <c r="CS109" s="153"/>
      <c r="CT109" s="145" t="e">
        <v>#DIV/0!</v>
      </c>
      <c r="CW109" s="60"/>
      <c r="CX109" s="60"/>
      <c r="CY109" s="43" t="e">
        <f t="shared" si="84"/>
        <v>#DIV/0!</v>
      </c>
      <c r="DB109" s="153"/>
      <c r="DC109" s="153"/>
      <c r="DD109" s="145" t="e">
        <v>#DIV/0!</v>
      </c>
      <c r="DG109" s="160"/>
      <c r="DH109" s="160"/>
      <c r="DI109" s="160"/>
      <c r="DJ109" s="160"/>
      <c r="DL109" s="60"/>
      <c r="DM109" s="60"/>
      <c r="DN109" s="60"/>
      <c r="DQ109" s="60"/>
      <c r="DR109" s="60"/>
      <c r="DS109" s="60"/>
    </row>
    <row r="110" spans="82:123" ht="15" customHeight="1" hidden="1">
      <c r="CD110" s="59"/>
      <c r="CP110" s="80">
        <f t="shared" si="83"/>
        <v>0</v>
      </c>
      <c r="CR110" s="153"/>
      <c r="CS110" s="153"/>
      <c r="CT110" s="145" t="e">
        <v>#DIV/0!</v>
      </c>
      <c r="CW110" s="60"/>
      <c r="CX110" s="60"/>
      <c r="CY110" s="43" t="e">
        <f t="shared" si="84"/>
        <v>#DIV/0!</v>
      </c>
      <c r="DB110" s="153"/>
      <c r="DC110" s="153"/>
      <c r="DD110" s="145" t="e">
        <v>#DIV/0!</v>
      </c>
      <c r="DG110" s="160"/>
      <c r="DH110" s="160"/>
      <c r="DI110" s="160"/>
      <c r="DJ110" s="160"/>
      <c r="DL110" s="60"/>
      <c r="DM110" s="60"/>
      <c r="DN110" s="60"/>
      <c r="DQ110" s="60"/>
      <c r="DR110" s="60"/>
      <c r="DS110" s="60"/>
    </row>
    <row r="111" spans="82:123" ht="15" customHeight="1" hidden="1">
      <c r="CD111" s="59"/>
      <c r="CP111" s="80">
        <f t="shared" si="83"/>
        <v>0</v>
      </c>
      <c r="CR111" s="153"/>
      <c r="CS111" s="153"/>
      <c r="CT111" s="145" t="e">
        <v>#DIV/0!</v>
      </c>
      <c r="CW111" s="60"/>
      <c r="CX111" s="60"/>
      <c r="CY111" s="43" t="e">
        <f t="shared" si="84"/>
        <v>#DIV/0!</v>
      </c>
      <c r="DB111" s="153"/>
      <c r="DC111" s="153"/>
      <c r="DD111" s="145" t="e">
        <v>#DIV/0!</v>
      </c>
      <c r="DG111" s="160"/>
      <c r="DH111" s="160"/>
      <c r="DI111" s="160"/>
      <c r="DJ111" s="160"/>
      <c r="DL111" s="60"/>
      <c r="DM111" s="60"/>
      <c r="DN111" s="60"/>
      <c r="DQ111" s="60"/>
      <c r="DR111" s="60"/>
      <c r="DS111" s="60"/>
    </row>
    <row r="112" spans="82:123" ht="15" customHeight="1" hidden="1">
      <c r="CD112" s="59"/>
      <c r="CP112" s="80">
        <f t="shared" si="83"/>
        <v>0</v>
      </c>
      <c r="CR112" s="153"/>
      <c r="CS112" s="153"/>
      <c r="CT112" s="145" t="e">
        <v>#DIV/0!</v>
      </c>
      <c r="CW112" s="60"/>
      <c r="CX112" s="60"/>
      <c r="CY112" s="43" t="e">
        <f t="shared" si="84"/>
        <v>#DIV/0!</v>
      </c>
      <c r="DB112" s="153"/>
      <c r="DC112" s="153"/>
      <c r="DD112" s="145" t="e">
        <v>#DIV/0!</v>
      </c>
      <c r="DG112" s="160"/>
      <c r="DH112" s="160"/>
      <c r="DI112" s="160"/>
      <c r="DJ112" s="160"/>
      <c r="DL112" s="60"/>
      <c r="DM112" s="60"/>
      <c r="DN112" s="60"/>
      <c r="DQ112" s="60"/>
      <c r="DR112" s="60"/>
      <c r="DS112" s="60"/>
    </row>
    <row r="113" spans="82:123" ht="15" customHeight="1" hidden="1">
      <c r="CD113" s="59"/>
      <c r="CP113" s="80">
        <f t="shared" si="83"/>
        <v>0</v>
      </c>
      <c r="CR113" s="153"/>
      <c r="CS113" s="153"/>
      <c r="CT113" s="145" t="e">
        <v>#DIV/0!</v>
      </c>
      <c r="CW113" s="60"/>
      <c r="CX113" s="60"/>
      <c r="CY113" s="43" t="e">
        <f t="shared" si="84"/>
        <v>#DIV/0!</v>
      </c>
      <c r="DB113" s="153"/>
      <c r="DC113" s="153"/>
      <c r="DD113" s="145" t="e">
        <v>#DIV/0!</v>
      </c>
      <c r="DG113" s="160"/>
      <c r="DH113" s="160"/>
      <c r="DI113" s="160"/>
      <c r="DJ113" s="160"/>
      <c r="DL113" s="60"/>
      <c r="DM113" s="60"/>
      <c r="DN113" s="60"/>
      <c r="DQ113" s="60"/>
      <c r="DR113" s="60"/>
      <c r="DS113" s="60"/>
    </row>
    <row r="114" spans="82:123" ht="15" customHeight="1" hidden="1">
      <c r="CD114" s="59"/>
      <c r="CP114" s="80">
        <f t="shared" si="83"/>
        <v>0</v>
      </c>
      <c r="CR114" s="153"/>
      <c r="CS114" s="153"/>
      <c r="CT114" s="145" t="e">
        <v>#DIV/0!</v>
      </c>
      <c r="CW114" s="60"/>
      <c r="CX114" s="60"/>
      <c r="CY114" s="43" t="e">
        <f t="shared" si="84"/>
        <v>#DIV/0!</v>
      </c>
      <c r="DB114" s="153"/>
      <c r="DC114" s="153"/>
      <c r="DD114" s="145" t="e">
        <v>#DIV/0!</v>
      </c>
      <c r="DG114" s="160"/>
      <c r="DH114" s="160"/>
      <c r="DI114" s="160"/>
      <c r="DJ114" s="160"/>
      <c r="DL114" s="60"/>
      <c r="DM114" s="60"/>
      <c r="DN114" s="60"/>
      <c r="DQ114" s="60"/>
      <c r="DR114" s="60"/>
      <c r="DS114" s="60"/>
    </row>
    <row r="115" spans="82:123" ht="15" customHeight="1" hidden="1">
      <c r="CD115" s="59"/>
      <c r="CP115" s="80">
        <f t="shared" si="83"/>
        <v>0</v>
      </c>
      <c r="CR115" s="153"/>
      <c r="CS115" s="153"/>
      <c r="CT115" s="156" t="e">
        <v>#DIV/0!</v>
      </c>
      <c r="CW115" s="60"/>
      <c r="CX115" s="60"/>
      <c r="CY115" s="129" t="e">
        <f t="shared" si="84"/>
        <v>#DIV/0!</v>
      </c>
      <c r="DB115" s="153"/>
      <c r="DC115" s="153"/>
      <c r="DD115" s="145" t="e">
        <v>#DIV/0!</v>
      </c>
      <c r="DG115" s="160"/>
      <c r="DH115" s="160"/>
      <c r="DI115" s="160"/>
      <c r="DJ115" s="160"/>
      <c r="DL115" s="60"/>
      <c r="DM115" s="60"/>
      <c r="DN115" s="60"/>
      <c r="DQ115" s="60"/>
      <c r="DR115" s="60"/>
      <c r="DS115" s="60"/>
    </row>
    <row r="116" spans="4:124" ht="16.5" hidden="1">
      <c r="D116" s="162">
        <f>SUM(D6:D71)</f>
        <v>617.5000000000001</v>
      </c>
      <c r="CP116" s="80">
        <f t="shared" si="83"/>
        <v>327895.5</v>
      </c>
      <c r="CR116" s="150">
        <v>219.55</v>
      </c>
      <c r="CS116" s="151"/>
      <c r="CT116" s="157">
        <v>534.2131632885447</v>
      </c>
      <c r="CU116" s="150">
        <v>117286.5</v>
      </c>
      <c r="CW116" s="140">
        <f>SUM(CW6:CW71)</f>
        <v>0</v>
      </c>
      <c r="CX116" s="55"/>
      <c r="CY116" s="141" t="e">
        <f t="shared" si="84"/>
        <v>#DIV/0!</v>
      </c>
      <c r="CZ116" s="140">
        <f>SUM(CZ6:CZ71)</f>
        <v>0</v>
      </c>
      <c r="DB116" s="159">
        <v>194.95000000000002</v>
      </c>
      <c r="DC116" s="159"/>
      <c r="DD116" s="145">
        <v>494.9345986150295</v>
      </c>
      <c r="DE116" s="159">
        <v>96487.5</v>
      </c>
      <c r="DG116" s="160">
        <v>169.5</v>
      </c>
      <c r="DH116" s="160"/>
      <c r="DI116" s="160">
        <v>576.2684365781711</v>
      </c>
      <c r="DJ116" s="160">
        <v>97677.5</v>
      </c>
      <c r="DL116" s="53">
        <f>SUM(DL6:DL71)</f>
        <v>8.5</v>
      </c>
      <c r="DM116" s="53"/>
      <c r="DN116" s="161">
        <f>DO116/DL116</f>
        <v>448.70588235294116</v>
      </c>
      <c r="DO116" s="52">
        <f>SUM(DO6:DO71)</f>
        <v>3814</v>
      </c>
      <c r="DQ116" s="59">
        <f>SUM(DQ6:DQ71)</f>
        <v>24</v>
      </c>
      <c r="DR116" s="60"/>
      <c r="DS116" s="60"/>
      <c r="DT116" s="59">
        <f>SUM(DT6:DT71)</f>
        <v>12630</v>
      </c>
    </row>
    <row r="117" spans="5:114" ht="16.5" hidden="1">
      <c r="E117" s="60">
        <f>CP116/D116</f>
        <v>531.0048582995951</v>
      </c>
      <c r="DG117" s="160"/>
      <c r="DH117" s="160"/>
      <c r="DI117" s="160"/>
      <c r="DJ117" s="160"/>
    </row>
    <row r="118" ht="16.5" hidden="1"/>
    <row r="119" ht="16.5" hidden="1"/>
  </sheetData>
  <sheetProtection/>
  <mergeCells count="7">
    <mergeCell ref="A3:C3"/>
    <mergeCell ref="A1:F1"/>
    <mergeCell ref="A2:F2"/>
    <mergeCell ref="A4:B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="90" zoomScaleNormal="90" zoomScalePageLayoutView="0" workbookViewId="0" topLeftCell="A4">
      <selection activeCell="AK22" sqref="AK22"/>
    </sheetView>
  </sheetViews>
  <sheetFormatPr defaultColWidth="9.140625" defaultRowHeight="15"/>
  <cols>
    <col min="1" max="1" width="36.00390625" style="59" customWidth="1"/>
    <col min="2" max="2" width="9.421875" style="59" customWidth="1"/>
    <col min="3" max="3" width="29.28125" style="59" customWidth="1"/>
    <col min="4" max="4" width="14.00390625" style="60" customWidth="1"/>
    <col min="5" max="5" width="14.00390625" style="60" hidden="1" customWidth="1"/>
    <col min="6" max="6" width="8.7109375" style="60" hidden="1" customWidth="1"/>
    <col min="7" max="7" width="9.421875" style="60" hidden="1" customWidth="1"/>
    <col min="8" max="9" width="8.28125" style="60" hidden="1" customWidth="1"/>
    <col min="10" max="10" width="8.8515625" style="60" hidden="1" customWidth="1"/>
    <col min="11" max="12" width="8.28125" style="60" hidden="1" customWidth="1"/>
    <col min="13" max="13" width="9.421875" style="60" hidden="1" customWidth="1"/>
    <col min="14" max="15" width="8.28125" style="60" hidden="1" customWidth="1"/>
    <col min="16" max="16" width="9.00390625" style="60" hidden="1" customWidth="1"/>
    <col min="17" max="18" width="8.28125" style="60" hidden="1" customWidth="1"/>
    <col min="19" max="19" width="9.00390625" style="60" hidden="1" customWidth="1"/>
    <col min="20" max="21" width="8.28125" style="60" hidden="1" customWidth="1"/>
    <col min="22" max="22" width="9.00390625" style="60" hidden="1" customWidth="1"/>
    <col min="23" max="24" width="8.28125" style="60" hidden="1" customWidth="1"/>
    <col min="25" max="25" width="8.8515625" style="60" hidden="1" customWidth="1"/>
    <col min="26" max="27" width="8.28125" style="60" hidden="1" customWidth="1"/>
    <col min="28" max="28" width="8.8515625" style="60" hidden="1" customWidth="1"/>
    <col min="29" max="30" width="8.28125" style="60" hidden="1" customWidth="1"/>
    <col min="31" max="31" width="10.28125" style="60" hidden="1" customWidth="1"/>
    <col min="32" max="32" width="9.57421875" style="60" hidden="1" customWidth="1"/>
    <col min="33" max="33" width="15.8515625" style="60" customWidth="1"/>
    <col min="34" max="34" width="18.00390625" style="60" customWidth="1"/>
    <col min="35" max="35" width="0" style="56" hidden="1" customWidth="1"/>
    <col min="36" max="16384" width="9.140625" style="56" customWidth="1"/>
  </cols>
  <sheetData>
    <row r="1" spans="1:34" ht="34.5" customHeight="1">
      <c r="A1" s="238" t="s">
        <v>252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17.25">
      <c r="A2" s="247" t="s">
        <v>254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9"/>
    </row>
    <row r="3" spans="1:34" ht="37.5" customHeight="1">
      <c r="A3" s="239" t="s">
        <v>0</v>
      </c>
      <c r="B3" s="241"/>
      <c r="C3" s="240"/>
      <c r="D3" s="242" t="s">
        <v>255</v>
      </c>
      <c r="E3" s="18"/>
      <c r="F3" s="42" t="s">
        <v>266</v>
      </c>
      <c r="G3" s="42" t="s">
        <v>267</v>
      </c>
      <c r="H3" s="42" t="s">
        <v>247</v>
      </c>
      <c r="I3" s="42" t="s">
        <v>266</v>
      </c>
      <c r="J3" s="42" t="s">
        <v>268</v>
      </c>
      <c r="K3" s="42" t="s">
        <v>247</v>
      </c>
      <c r="L3" s="42" t="s">
        <v>266</v>
      </c>
      <c r="M3" s="42" t="s">
        <v>269</v>
      </c>
      <c r="N3" s="42" t="s">
        <v>247</v>
      </c>
      <c r="O3" s="42" t="s">
        <v>266</v>
      </c>
      <c r="P3" s="42" t="s">
        <v>268</v>
      </c>
      <c r="Q3" s="42" t="s">
        <v>247</v>
      </c>
      <c r="R3" s="42" t="s">
        <v>266</v>
      </c>
      <c r="S3" s="42" t="s">
        <v>268</v>
      </c>
      <c r="T3" s="42" t="s">
        <v>247</v>
      </c>
      <c r="U3" s="42" t="s">
        <v>266</v>
      </c>
      <c r="V3" s="42" t="s">
        <v>268</v>
      </c>
      <c r="W3" s="42" t="s">
        <v>247</v>
      </c>
      <c r="X3" s="42" t="s">
        <v>266</v>
      </c>
      <c r="Y3" s="42" t="s">
        <v>268</v>
      </c>
      <c r="Z3" s="42" t="s">
        <v>247</v>
      </c>
      <c r="AA3" s="42" t="s">
        <v>266</v>
      </c>
      <c r="AB3" s="42" t="s">
        <v>268</v>
      </c>
      <c r="AC3" s="42" t="s">
        <v>247</v>
      </c>
      <c r="AD3" s="42" t="s">
        <v>266</v>
      </c>
      <c r="AE3" s="42" t="s">
        <v>268</v>
      </c>
      <c r="AF3" s="42" t="s">
        <v>247</v>
      </c>
      <c r="AG3" s="242" t="s">
        <v>95</v>
      </c>
      <c r="AH3" s="242" t="s">
        <v>1</v>
      </c>
    </row>
    <row r="4" spans="1:34" ht="37.5" customHeight="1">
      <c r="A4" s="241" t="s">
        <v>96</v>
      </c>
      <c r="B4" s="240"/>
      <c r="C4" s="46" t="s">
        <v>2</v>
      </c>
      <c r="D4" s="243"/>
      <c r="E4" s="18" t="s">
        <v>256</v>
      </c>
      <c r="F4" s="42" t="s">
        <v>257</v>
      </c>
      <c r="G4" s="42"/>
      <c r="H4" s="42"/>
      <c r="I4" s="42" t="s">
        <v>258</v>
      </c>
      <c r="J4" s="42"/>
      <c r="K4" s="42"/>
      <c r="L4" s="42" t="s">
        <v>259</v>
      </c>
      <c r="M4" s="42"/>
      <c r="N4" s="42"/>
      <c r="O4" s="42" t="s">
        <v>260</v>
      </c>
      <c r="P4" s="42"/>
      <c r="Q4" s="42"/>
      <c r="R4" s="42" t="s">
        <v>261</v>
      </c>
      <c r="S4" s="42"/>
      <c r="T4" s="42"/>
      <c r="U4" s="42" t="s">
        <v>262</v>
      </c>
      <c r="V4" s="42"/>
      <c r="W4" s="42"/>
      <c r="X4" s="42" t="s">
        <v>263</v>
      </c>
      <c r="Y4" s="42"/>
      <c r="Z4" s="42"/>
      <c r="AA4" s="42" t="s">
        <v>264</v>
      </c>
      <c r="AB4" s="42"/>
      <c r="AC4" s="42"/>
      <c r="AD4" s="42" t="s">
        <v>265</v>
      </c>
      <c r="AE4" s="42"/>
      <c r="AF4" s="42"/>
      <c r="AG4" s="243"/>
      <c r="AH4" s="243"/>
    </row>
    <row r="5" spans="1:35" ht="17.25">
      <c r="A5" s="239">
        <v>1</v>
      </c>
      <c r="B5" s="240"/>
      <c r="C5" s="18">
        <v>2</v>
      </c>
      <c r="D5" s="18">
        <v>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>
        <v>4</v>
      </c>
      <c r="AH5" s="18">
        <v>5</v>
      </c>
      <c r="AI5" s="173">
        <v>6</v>
      </c>
    </row>
    <row r="6" spans="1:35" ht="17.25">
      <c r="A6" s="3" t="s">
        <v>31</v>
      </c>
      <c r="B6" s="2" t="s">
        <v>32</v>
      </c>
      <c r="C6" s="11" t="s">
        <v>43</v>
      </c>
      <c r="D6" s="42">
        <v>26</v>
      </c>
      <c r="E6" s="42">
        <f aca="true" t="shared" si="0" ref="E6:E30">H6+K6+N6+Q6+T6+W6+Z6+AC6+AF6</f>
        <v>10045</v>
      </c>
      <c r="F6" s="53">
        <v>3</v>
      </c>
      <c r="G6" s="53">
        <v>390</v>
      </c>
      <c r="H6" s="42">
        <f aca="true" t="shared" si="1" ref="H6:H30">F6*G6</f>
        <v>1170</v>
      </c>
      <c r="I6" s="42">
        <v>3</v>
      </c>
      <c r="J6" s="42">
        <v>395</v>
      </c>
      <c r="K6" s="42">
        <f aca="true" t="shared" si="2" ref="K6:K30">I6*J6</f>
        <v>1185</v>
      </c>
      <c r="L6" s="42">
        <v>4</v>
      </c>
      <c r="M6" s="42">
        <v>395</v>
      </c>
      <c r="N6" s="42">
        <f aca="true" t="shared" si="3" ref="N6:N30">L6*M6</f>
        <v>1580</v>
      </c>
      <c r="O6" s="42">
        <v>4</v>
      </c>
      <c r="P6" s="42">
        <v>380</v>
      </c>
      <c r="Q6" s="42">
        <f aca="true" t="shared" si="4" ref="Q6:Q30">O6*P6</f>
        <v>1520</v>
      </c>
      <c r="R6" s="42"/>
      <c r="S6" s="42"/>
      <c r="T6" s="42">
        <f aca="true" t="shared" si="5" ref="T6:T30">R6*S6</f>
        <v>0</v>
      </c>
      <c r="U6" s="42">
        <v>3</v>
      </c>
      <c r="V6" s="42">
        <v>390</v>
      </c>
      <c r="W6" s="42">
        <f aca="true" t="shared" si="6" ref="W6:W30">U6*V6</f>
        <v>1170</v>
      </c>
      <c r="X6" s="42">
        <v>3</v>
      </c>
      <c r="Y6" s="42">
        <v>380</v>
      </c>
      <c r="Z6" s="42">
        <f aca="true" t="shared" si="7" ref="Z6:Z30">X6*Y6</f>
        <v>1140</v>
      </c>
      <c r="AA6" s="42"/>
      <c r="AB6" s="42"/>
      <c r="AC6" s="42">
        <f aca="true" t="shared" si="8" ref="AC6:AC23">AB6*AA6</f>
        <v>0</v>
      </c>
      <c r="AD6" s="42">
        <v>6</v>
      </c>
      <c r="AE6" s="53">
        <v>380</v>
      </c>
      <c r="AF6" s="42">
        <f aca="true" t="shared" si="9" ref="AF6:AF30">AD6*AE6</f>
        <v>2280</v>
      </c>
      <c r="AG6" s="4" t="s">
        <v>313</v>
      </c>
      <c r="AH6" s="51">
        <f>AI6/D6</f>
        <v>432.88461538461536</v>
      </c>
      <c r="AI6" s="174">
        <v>11255</v>
      </c>
    </row>
    <row r="7" spans="1:35" ht="49.5">
      <c r="A7" s="3" t="s">
        <v>28</v>
      </c>
      <c r="B7" s="4" t="s">
        <v>6</v>
      </c>
      <c r="C7" s="11" t="s">
        <v>38</v>
      </c>
      <c r="D7" s="42">
        <v>9</v>
      </c>
      <c r="E7" s="42">
        <f t="shared" si="0"/>
        <v>7940</v>
      </c>
      <c r="F7" s="53">
        <v>1</v>
      </c>
      <c r="G7" s="53">
        <v>950</v>
      </c>
      <c r="H7" s="42">
        <f t="shared" si="1"/>
        <v>950</v>
      </c>
      <c r="I7" s="42">
        <v>1</v>
      </c>
      <c r="J7" s="42">
        <v>935</v>
      </c>
      <c r="K7" s="42">
        <f t="shared" si="2"/>
        <v>935</v>
      </c>
      <c r="L7" s="42">
        <v>1</v>
      </c>
      <c r="M7" s="42">
        <v>874</v>
      </c>
      <c r="N7" s="42">
        <f t="shared" si="3"/>
        <v>874</v>
      </c>
      <c r="O7" s="42">
        <v>1</v>
      </c>
      <c r="P7" s="42">
        <v>962</v>
      </c>
      <c r="Q7" s="42">
        <f t="shared" si="4"/>
        <v>962</v>
      </c>
      <c r="R7" s="42">
        <v>1</v>
      </c>
      <c r="S7" s="42">
        <v>840</v>
      </c>
      <c r="T7" s="42">
        <f t="shared" si="5"/>
        <v>840</v>
      </c>
      <c r="U7" s="42">
        <v>1</v>
      </c>
      <c r="V7" s="42">
        <v>870</v>
      </c>
      <c r="W7" s="42">
        <f t="shared" si="6"/>
        <v>870</v>
      </c>
      <c r="X7" s="42">
        <v>1</v>
      </c>
      <c r="Y7" s="42">
        <v>899</v>
      </c>
      <c r="Z7" s="42">
        <f t="shared" si="7"/>
        <v>899</v>
      </c>
      <c r="AA7" s="42">
        <v>1</v>
      </c>
      <c r="AB7" s="42">
        <v>807</v>
      </c>
      <c r="AC7" s="42">
        <f t="shared" si="8"/>
        <v>807</v>
      </c>
      <c r="AD7" s="42">
        <v>1</v>
      </c>
      <c r="AE7" s="53">
        <v>803</v>
      </c>
      <c r="AF7" s="42">
        <f t="shared" si="9"/>
        <v>803</v>
      </c>
      <c r="AG7" s="4" t="s">
        <v>307</v>
      </c>
      <c r="AH7" s="51">
        <f aca="true" t="shared" si="10" ref="AH7:AH31">AI7/D7</f>
        <v>939.1111111111111</v>
      </c>
      <c r="AI7" s="174">
        <v>8452</v>
      </c>
    </row>
    <row r="8" spans="1:35" ht="17.25">
      <c r="A8" s="3" t="s">
        <v>28</v>
      </c>
      <c r="B8" s="4" t="s">
        <v>6</v>
      </c>
      <c r="C8" s="11" t="s">
        <v>78</v>
      </c>
      <c r="D8" s="42">
        <v>4</v>
      </c>
      <c r="E8" s="42">
        <f t="shared" si="0"/>
        <v>3080</v>
      </c>
      <c r="F8" s="53"/>
      <c r="G8" s="53"/>
      <c r="H8" s="42">
        <f t="shared" si="1"/>
        <v>0</v>
      </c>
      <c r="I8" s="42"/>
      <c r="J8" s="42"/>
      <c r="K8" s="42">
        <f t="shared" si="2"/>
        <v>0</v>
      </c>
      <c r="L8" s="42">
        <v>1</v>
      </c>
      <c r="M8" s="42">
        <v>800</v>
      </c>
      <c r="N8" s="42">
        <f t="shared" si="3"/>
        <v>800</v>
      </c>
      <c r="O8" s="42"/>
      <c r="P8" s="42"/>
      <c r="Q8" s="42">
        <f t="shared" si="4"/>
        <v>0</v>
      </c>
      <c r="R8" s="42">
        <v>1</v>
      </c>
      <c r="S8" s="42">
        <v>800</v>
      </c>
      <c r="T8" s="42">
        <f t="shared" si="5"/>
        <v>800</v>
      </c>
      <c r="U8" s="42">
        <v>1</v>
      </c>
      <c r="V8" s="42">
        <v>750</v>
      </c>
      <c r="W8" s="42">
        <f t="shared" si="6"/>
        <v>750</v>
      </c>
      <c r="X8" s="42"/>
      <c r="Y8" s="42"/>
      <c r="Z8" s="42">
        <f t="shared" si="7"/>
        <v>0</v>
      </c>
      <c r="AA8" s="42"/>
      <c r="AB8" s="42"/>
      <c r="AC8" s="42">
        <f t="shared" si="8"/>
        <v>0</v>
      </c>
      <c r="AD8" s="42">
        <v>1</v>
      </c>
      <c r="AE8" s="53">
        <v>730</v>
      </c>
      <c r="AF8" s="42">
        <f t="shared" si="9"/>
        <v>730</v>
      </c>
      <c r="AG8" s="4" t="s">
        <v>309</v>
      </c>
      <c r="AH8" s="51">
        <f t="shared" si="10"/>
        <v>808.75</v>
      </c>
      <c r="AI8" s="174">
        <v>3235</v>
      </c>
    </row>
    <row r="9" spans="1:35" ht="20.25" customHeight="1">
      <c r="A9" s="3" t="s">
        <v>3</v>
      </c>
      <c r="B9" s="4" t="s">
        <v>46</v>
      </c>
      <c r="C9" s="11" t="s">
        <v>140</v>
      </c>
      <c r="D9" s="42">
        <v>33.75</v>
      </c>
      <c r="E9" s="51">
        <f t="shared" si="0"/>
        <v>12925.9975</v>
      </c>
      <c r="F9" s="42">
        <v>5</v>
      </c>
      <c r="G9" s="42">
        <v>385</v>
      </c>
      <c r="H9" s="42">
        <f t="shared" si="1"/>
        <v>1925</v>
      </c>
      <c r="I9" s="42">
        <v>4</v>
      </c>
      <c r="J9" s="42">
        <v>380</v>
      </c>
      <c r="K9" s="42">
        <f t="shared" si="2"/>
        <v>1520</v>
      </c>
      <c r="L9" s="42">
        <v>5</v>
      </c>
      <c r="M9" s="42">
        <v>395</v>
      </c>
      <c r="N9" s="42">
        <f t="shared" si="3"/>
        <v>1975</v>
      </c>
      <c r="O9" s="42">
        <v>3</v>
      </c>
      <c r="P9" s="42">
        <v>380</v>
      </c>
      <c r="Q9" s="42">
        <f t="shared" si="4"/>
        <v>1140</v>
      </c>
      <c r="R9" s="42">
        <v>4</v>
      </c>
      <c r="S9" s="42">
        <v>380</v>
      </c>
      <c r="T9" s="42">
        <f t="shared" si="5"/>
        <v>1520</v>
      </c>
      <c r="U9" s="42">
        <v>5</v>
      </c>
      <c r="V9" s="42">
        <v>380</v>
      </c>
      <c r="W9" s="42">
        <f t="shared" si="6"/>
        <v>1900</v>
      </c>
      <c r="X9" s="42">
        <v>2</v>
      </c>
      <c r="Y9" s="42">
        <v>380</v>
      </c>
      <c r="Z9" s="42">
        <f t="shared" si="7"/>
        <v>760</v>
      </c>
      <c r="AA9" s="42">
        <v>1.75</v>
      </c>
      <c r="AB9" s="42">
        <v>380.57</v>
      </c>
      <c r="AC9" s="42">
        <f t="shared" si="8"/>
        <v>665.9975</v>
      </c>
      <c r="AD9" s="42">
        <v>4</v>
      </c>
      <c r="AE9" s="42">
        <v>380</v>
      </c>
      <c r="AF9" s="42">
        <f t="shared" si="9"/>
        <v>1520</v>
      </c>
      <c r="AG9" s="4" t="s">
        <v>313</v>
      </c>
      <c r="AH9" s="51">
        <f t="shared" si="10"/>
        <v>432.22222222222223</v>
      </c>
      <c r="AI9" s="174">
        <v>14587.5</v>
      </c>
    </row>
    <row r="10" spans="1:35" ht="17.25" customHeight="1">
      <c r="A10" s="3" t="s">
        <v>3</v>
      </c>
      <c r="B10" s="2" t="s">
        <v>48</v>
      </c>
      <c r="C10" s="11" t="s">
        <v>54</v>
      </c>
      <c r="D10" s="42">
        <v>1</v>
      </c>
      <c r="E10" s="42">
        <f t="shared" si="0"/>
        <v>476</v>
      </c>
      <c r="F10" s="53"/>
      <c r="G10" s="53"/>
      <c r="H10" s="42">
        <f t="shared" si="1"/>
        <v>0</v>
      </c>
      <c r="I10" s="42"/>
      <c r="J10" s="42"/>
      <c r="K10" s="42">
        <f t="shared" si="2"/>
        <v>0</v>
      </c>
      <c r="L10" s="42"/>
      <c r="M10" s="42"/>
      <c r="N10" s="42">
        <f t="shared" si="3"/>
        <v>0</v>
      </c>
      <c r="O10" s="42"/>
      <c r="P10" s="42"/>
      <c r="Q10" s="42">
        <f t="shared" si="4"/>
        <v>0</v>
      </c>
      <c r="R10" s="42"/>
      <c r="S10" s="42"/>
      <c r="T10" s="42">
        <f t="shared" si="5"/>
        <v>0</v>
      </c>
      <c r="U10" s="42"/>
      <c r="V10" s="42"/>
      <c r="W10" s="42">
        <f t="shared" si="6"/>
        <v>0</v>
      </c>
      <c r="X10" s="42">
        <v>1</v>
      </c>
      <c r="Y10" s="42">
        <v>476</v>
      </c>
      <c r="Z10" s="42">
        <f t="shared" si="7"/>
        <v>476</v>
      </c>
      <c r="AA10" s="42"/>
      <c r="AB10" s="42"/>
      <c r="AC10" s="42">
        <f t="shared" si="8"/>
        <v>0</v>
      </c>
      <c r="AD10" s="42"/>
      <c r="AE10" s="53"/>
      <c r="AF10" s="42">
        <f t="shared" si="9"/>
        <v>0</v>
      </c>
      <c r="AG10" s="2" t="s">
        <v>315</v>
      </c>
      <c r="AH10" s="51">
        <f t="shared" si="10"/>
        <v>518</v>
      </c>
      <c r="AI10" s="174">
        <v>518</v>
      </c>
    </row>
    <row r="11" spans="1:35" ht="17.25" customHeight="1">
      <c r="A11" s="3" t="s">
        <v>3</v>
      </c>
      <c r="B11" s="4" t="s">
        <v>4</v>
      </c>
      <c r="C11" s="6" t="s">
        <v>36</v>
      </c>
      <c r="D11" s="42">
        <v>2</v>
      </c>
      <c r="E11" s="42">
        <f t="shared" si="0"/>
        <v>849</v>
      </c>
      <c r="F11" s="53"/>
      <c r="G11" s="53"/>
      <c r="H11" s="42">
        <f t="shared" si="1"/>
        <v>0</v>
      </c>
      <c r="I11" s="42"/>
      <c r="J11" s="42"/>
      <c r="K11" s="42">
        <f t="shared" si="2"/>
        <v>0</v>
      </c>
      <c r="L11" s="42">
        <v>1</v>
      </c>
      <c r="M11" s="42">
        <v>395</v>
      </c>
      <c r="N11" s="42">
        <f t="shared" si="3"/>
        <v>395</v>
      </c>
      <c r="O11" s="42"/>
      <c r="P11" s="42"/>
      <c r="Q11" s="42">
        <f t="shared" si="4"/>
        <v>0</v>
      </c>
      <c r="R11" s="42"/>
      <c r="S11" s="42"/>
      <c r="T11" s="42">
        <f t="shared" si="5"/>
        <v>0</v>
      </c>
      <c r="U11" s="42"/>
      <c r="V11" s="42"/>
      <c r="W11" s="42">
        <f t="shared" si="6"/>
        <v>0</v>
      </c>
      <c r="X11" s="42"/>
      <c r="Y11" s="42"/>
      <c r="Z11" s="42">
        <f t="shared" si="7"/>
        <v>0</v>
      </c>
      <c r="AA11" s="42"/>
      <c r="AB11" s="42"/>
      <c r="AC11" s="42">
        <f t="shared" si="8"/>
        <v>0</v>
      </c>
      <c r="AD11" s="42">
        <v>1</v>
      </c>
      <c r="AE11" s="53">
        <v>454</v>
      </c>
      <c r="AF11" s="42">
        <f t="shared" si="9"/>
        <v>454</v>
      </c>
      <c r="AG11" s="8" t="s">
        <v>316</v>
      </c>
      <c r="AH11" s="51">
        <f t="shared" si="10"/>
        <v>466</v>
      </c>
      <c r="AI11" s="174">
        <v>932</v>
      </c>
    </row>
    <row r="12" spans="1:35" s="57" customFormat="1" ht="17.25" customHeight="1">
      <c r="A12" s="3" t="s">
        <v>3</v>
      </c>
      <c r="B12" s="4" t="s">
        <v>4</v>
      </c>
      <c r="C12" s="11" t="s">
        <v>40</v>
      </c>
      <c r="D12" s="42">
        <v>2</v>
      </c>
      <c r="E12" s="42">
        <f t="shared" si="0"/>
        <v>837</v>
      </c>
      <c r="F12" s="53">
        <v>1</v>
      </c>
      <c r="G12" s="53">
        <v>422</v>
      </c>
      <c r="H12" s="42">
        <f t="shared" si="1"/>
        <v>422</v>
      </c>
      <c r="I12" s="42"/>
      <c r="J12" s="42"/>
      <c r="K12" s="42">
        <f t="shared" si="2"/>
        <v>0</v>
      </c>
      <c r="L12" s="42"/>
      <c r="M12" s="42"/>
      <c r="N12" s="42">
        <f t="shared" si="3"/>
        <v>0</v>
      </c>
      <c r="O12" s="42"/>
      <c r="P12" s="42"/>
      <c r="Q12" s="42">
        <f t="shared" si="4"/>
        <v>0</v>
      </c>
      <c r="R12" s="42"/>
      <c r="S12" s="42"/>
      <c r="T12" s="42">
        <f t="shared" si="5"/>
        <v>0</v>
      </c>
      <c r="U12" s="42">
        <v>1</v>
      </c>
      <c r="V12" s="42">
        <v>415</v>
      </c>
      <c r="W12" s="42">
        <f t="shared" si="6"/>
        <v>415</v>
      </c>
      <c r="X12" s="42"/>
      <c r="Y12" s="42"/>
      <c r="Z12" s="42">
        <f t="shared" si="7"/>
        <v>0</v>
      </c>
      <c r="AA12" s="42"/>
      <c r="AB12" s="42"/>
      <c r="AC12" s="42">
        <f t="shared" si="8"/>
        <v>0</v>
      </c>
      <c r="AD12" s="42"/>
      <c r="AE12" s="53"/>
      <c r="AF12" s="42">
        <f t="shared" si="9"/>
        <v>0</v>
      </c>
      <c r="AG12" s="8" t="s">
        <v>316</v>
      </c>
      <c r="AH12" s="51">
        <f t="shared" si="10"/>
        <v>437.5</v>
      </c>
      <c r="AI12" s="174">
        <v>875</v>
      </c>
    </row>
    <row r="13" spans="1:35" s="57" customFormat="1" ht="36" customHeight="1">
      <c r="A13" s="3" t="s">
        <v>3</v>
      </c>
      <c r="B13" s="4" t="s">
        <v>4</v>
      </c>
      <c r="C13" s="11" t="s">
        <v>51</v>
      </c>
      <c r="D13" s="42">
        <v>1</v>
      </c>
      <c r="E13" s="42">
        <f t="shared" si="0"/>
        <v>422</v>
      </c>
      <c r="F13" s="53">
        <v>1</v>
      </c>
      <c r="G13" s="53">
        <v>422</v>
      </c>
      <c r="H13" s="42">
        <f t="shared" si="1"/>
        <v>422</v>
      </c>
      <c r="I13" s="42"/>
      <c r="J13" s="42"/>
      <c r="K13" s="42">
        <f t="shared" si="2"/>
        <v>0</v>
      </c>
      <c r="L13" s="42"/>
      <c r="M13" s="42"/>
      <c r="N13" s="42">
        <f t="shared" si="3"/>
        <v>0</v>
      </c>
      <c r="O13" s="42"/>
      <c r="P13" s="42"/>
      <c r="Q13" s="42">
        <f t="shared" si="4"/>
        <v>0</v>
      </c>
      <c r="R13" s="42"/>
      <c r="S13" s="42"/>
      <c r="T13" s="42">
        <f t="shared" si="5"/>
        <v>0</v>
      </c>
      <c r="U13" s="42"/>
      <c r="V13" s="42"/>
      <c r="W13" s="42">
        <f t="shared" si="6"/>
        <v>0</v>
      </c>
      <c r="X13" s="42"/>
      <c r="Y13" s="42"/>
      <c r="Z13" s="42">
        <f t="shared" si="7"/>
        <v>0</v>
      </c>
      <c r="AA13" s="42"/>
      <c r="AB13" s="42"/>
      <c r="AC13" s="42">
        <f t="shared" si="8"/>
        <v>0</v>
      </c>
      <c r="AD13" s="42"/>
      <c r="AE13" s="53"/>
      <c r="AF13" s="42">
        <f t="shared" si="9"/>
        <v>0</v>
      </c>
      <c r="AG13" s="8" t="s">
        <v>316</v>
      </c>
      <c r="AH13" s="51">
        <f t="shared" si="10"/>
        <v>435</v>
      </c>
      <c r="AI13" s="174">
        <v>435</v>
      </c>
    </row>
    <row r="14" spans="1:35" s="57" customFormat="1" ht="17.25">
      <c r="A14" s="3" t="s">
        <v>3</v>
      </c>
      <c r="B14" s="4" t="s">
        <v>4</v>
      </c>
      <c r="C14" s="6" t="s">
        <v>100</v>
      </c>
      <c r="D14" s="42">
        <v>0.5</v>
      </c>
      <c r="E14" s="42">
        <f t="shared" si="0"/>
        <v>227</v>
      </c>
      <c r="F14" s="53"/>
      <c r="G14" s="53"/>
      <c r="H14" s="42">
        <f t="shared" si="1"/>
        <v>0</v>
      </c>
      <c r="I14" s="42"/>
      <c r="J14" s="42"/>
      <c r="K14" s="42">
        <f t="shared" si="2"/>
        <v>0</v>
      </c>
      <c r="L14" s="42">
        <v>0.5</v>
      </c>
      <c r="M14" s="42">
        <v>454</v>
      </c>
      <c r="N14" s="42">
        <f t="shared" si="3"/>
        <v>227</v>
      </c>
      <c r="O14" s="42"/>
      <c r="P14" s="42"/>
      <c r="Q14" s="42">
        <f t="shared" si="4"/>
        <v>0</v>
      </c>
      <c r="R14" s="42"/>
      <c r="S14" s="42"/>
      <c r="T14" s="42">
        <f t="shared" si="5"/>
        <v>0</v>
      </c>
      <c r="U14" s="42"/>
      <c r="V14" s="42"/>
      <c r="W14" s="42">
        <f t="shared" si="6"/>
        <v>0</v>
      </c>
      <c r="X14" s="42"/>
      <c r="Y14" s="42"/>
      <c r="Z14" s="42">
        <f t="shared" si="7"/>
        <v>0</v>
      </c>
      <c r="AA14" s="42"/>
      <c r="AB14" s="42"/>
      <c r="AC14" s="42">
        <f t="shared" si="8"/>
        <v>0</v>
      </c>
      <c r="AD14" s="42"/>
      <c r="AE14" s="53"/>
      <c r="AF14" s="42">
        <f t="shared" si="9"/>
        <v>0</v>
      </c>
      <c r="AG14" s="8" t="s">
        <v>316</v>
      </c>
      <c r="AH14" s="51">
        <f t="shared" si="10"/>
        <v>454</v>
      </c>
      <c r="AI14" s="174">
        <v>227</v>
      </c>
    </row>
    <row r="15" spans="1:35" ht="17.25">
      <c r="A15" s="3" t="s">
        <v>3</v>
      </c>
      <c r="B15" s="4" t="s">
        <v>4</v>
      </c>
      <c r="C15" s="11" t="s">
        <v>143</v>
      </c>
      <c r="D15" s="42">
        <v>1</v>
      </c>
      <c r="E15" s="42">
        <f t="shared" si="0"/>
        <v>548</v>
      </c>
      <c r="F15" s="53">
        <v>1</v>
      </c>
      <c r="G15" s="53">
        <v>548</v>
      </c>
      <c r="H15" s="42">
        <f t="shared" si="1"/>
        <v>548</v>
      </c>
      <c r="I15" s="42"/>
      <c r="J15" s="42"/>
      <c r="K15" s="42">
        <f t="shared" si="2"/>
        <v>0</v>
      </c>
      <c r="L15" s="42"/>
      <c r="M15" s="42"/>
      <c r="N15" s="42">
        <f t="shared" si="3"/>
        <v>0</v>
      </c>
      <c r="O15" s="42"/>
      <c r="P15" s="42"/>
      <c r="Q15" s="42">
        <f t="shared" si="4"/>
        <v>0</v>
      </c>
      <c r="R15" s="42"/>
      <c r="S15" s="42"/>
      <c r="T15" s="42">
        <f t="shared" si="5"/>
        <v>0</v>
      </c>
      <c r="U15" s="42"/>
      <c r="V15" s="42"/>
      <c r="W15" s="42">
        <f t="shared" si="6"/>
        <v>0</v>
      </c>
      <c r="X15" s="42"/>
      <c r="Y15" s="42"/>
      <c r="Z15" s="42">
        <f t="shared" si="7"/>
        <v>0</v>
      </c>
      <c r="AA15" s="42"/>
      <c r="AB15" s="42"/>
      <c r="AC15" s="42">
        <f t="shared" si="8"/>
        <v>0</v>
      </c>
      <c r="AD15" s="42"/>
      <c r="AE15" s="53"/>
      <c r="AF15" s="42">
        <f t="shared" si="9"/>
        <v>0</v>
      </c>
      <c r="AG15" s="8" t="s">
        <v>314</v>
      </c>
      <c r="AH15" s="51">
        <f t="shared" si="10"/>
        <v>587</v>
      </c>
      <c r="AI15" s="174">
        <v>587</v>
      </c>
    </row>
    <row r="16" spans="1:35" ht="17.25">
      <c r="A16" s="3" t="s">
        <v>3</v>
      </c>
      <c r="B16" s="4" t="s">
        <v>4</v>
      </c>
      <c r="C16" s="11" t="s">
        <v>58</v>
      </c>
      <c r="D16" s="42">
        <v>3.5</v>
      </c>
      <c r="E16" s="42">
        <f t="shared" si="0"/>
        <v>1577</v>
      </c>
      <c r="F16" s="53"/>
      <c r="G16" s="53"/>
      <c r="H16" s="42">
        <f t="shared" si="1"/>
        <v>0</v>
      </c>
      <c r="I16" s="42">
        <v>1</v>
      </c>
      <c r="J16" s="42">
        <v>454</v>
      </c>
      <c r="K16" s="42">
        <f t="shared" si="2"/>
        <v>454</v>
      </c>
      <c r="L16" s="42"/>
      <c r="M16" s="42"/>
      <c r="N16" s="42">
        <f t="shared" si="3"/>
        <v>0</v>
      </c>
      <c r="O16" s="42"/>
      <c r="P16" s="42"/>
      <c r="Q16" s="42">
        <f t="shared" si="4"/>
        <v>0</v>
      </c>
      <c r="R16" s="42">
        <v>1</v>
      </c>
      <c r="S16" s="42">
        <v>454</v>
      </c>
      <c r="T16" s="42">
        <f t="shared" si="5"/>
        <v>454</v>
      </c>
      <c r="U16" s="42"/>
      <c r="V16" s="42"/>
      <c r="W16" s="42">
        <f t="shared" si="6"/>
        <v>0</v>
      </c>
      <c r="X16" s="42"/>
      <c r="Y16" s="42"/>
      <c r="Z16" s="42">
        <f t="shared" si="7"/>
        <v>0</v>
      </c>
      <c r="AA16" s="42">
        <v>0.5</v>
      </c>
      <c r="AB16" s="42">
        <v>430</v>
      </c>
      <c r="AC16" s="42">
        <f t="shared" si="8"/>
        <v>215</v>
      </c>
      <c r="AD16" s="42">
        <v>1</v>
      </c>
      <c r="AE16" s="53">
        <v>454</v>
      </c>
      <c r="AF16" s="42">
        <f t="shared" si="9"/>
        <v>454</v>
      </c>
      <c r="AG16" s="8" t="s">
        <v>316</v>
      </c>
      <c r="AH16" s="51">
        <f t="shared" si="10"/>
        <v>489.7142857142857</v>
      </c>
      <c r="AI16" s="174">
        <v>1714</v>
      </c>
    </row>
    <row r="17" spans="1:35" ht="17.25">
      <c r="A17" s="3" t="s">
        <v>3</v>
      </c>
      <c r="B17" s="4" t="s">
        <v>4</v>
      </c>
      <c r="C17" s="6" t="s">
        <v>59</v>
      </c>
      <c r="D17" s="42">
        <v>0.5</v>
      </c>
      <c r="E17" s="42">
        <f t="shared" si="0"/>
        <v>274</v>
      </c>
      <c r="F17" s="53"/>
      <c r="G17" s="53"/>
      <c r="H17" s="42">
        <f t="shared" si="1"/>
        <v>0</v>
      </c>
      <c r="I17" s="42"/>
      <c r="J17" s="42"/>
      <c r="K17" s="42">
        <f t="shared" si="2"/>
        <v>0</v>
      </c>
      <c r="L17" s="42">
        <v>0.5</v>
      </c>
      <c r="M17" s="42">
        <v>548</v>
      </c>
      <c r="N17" s="42">
        <f t="shared" si="3"/>
        <v>274</v>
      </c>
      <c r="O17" s="42"/>
      <c r="P17" s="42"/>
      <c r="Q17" s="42">
        <f t="shared" si="4"/>
        <v>0</v>
      </c>
      <c r="R17" s="42"/>
      <c r="S17" s="42"/>
      <c r="T17" s="42">
        <f t="shared" si="5"/>
        <v>0</v>
      </c>
      <c r="U17" s="42"/>
      <c r="V17" s="42"/>
      <c r="W17" s="42">
        <f t="shared" si="6"/>
        <v>0</v>
      </c>
      <c r="X17" s="42"/>
      <c r="Y17" s="42"/>
      <c r="Z17" s="42">
        <f t="shared" si="7"/>
        <v>0</v>
      </c>
      <c r="AA17" s="42"/>
      <c r="AB17" s="42"/>
      <c r="AC17" s="42">
        <f t="shared" si="8"/>
        <v>0</v>
      </c>
      <c r="AD17" s="42"/>
      <c r="AE17" s="53"/>
      <c r="AF17" s="42">
        <f t="shared" si="9"/>
        <v>0</v>
      </c>
      <c r="AG17" s="8" t="s">
        <v>314</v>
      </c>
      <c r="AH17" s="51">
        <f t="shared" si="10"/>
        <v>586</v>
      </c>
      <c r="AI17" s="174">
        <v>293</v>
      </c>
    </row>
    <row r="18" spans="1:35" ht="17.25">
      <c r="A18" s="3" t="s">
        <v>3</v>
      </c>
      <c r="B18" s="4" t="s">
        <v>4</v>
      </c>
      <c r="C18" s="11" t="s">
        <v>79</v>
      </c>
      <c r="D18" s="42">
        <v>1</v>
      </c>
      <c r="E18" s="42">
        <f t="shared" si="0"/>
        <v>430</v>
      </c>
      <c r="F18" s="53">
        <v>1</v>
      </c>
      <c r="G18" s="53">
        <v>430</v>
      </c>
      <c r="H18" s="42">
        <f t="shared" si="1"/>
        <v>430</v>
      </c>
      <c r="I18" s="42"/>
      <c r="J18" s="42"/>
      <c r="K18" s="42">
        <f t="shared" si="2"/>
        <v>0</v>
      </c>
      <c r="L18" s="42"/>
      <c r="M18" s="42"/>
      <c r="N18" s="42">
        <f t="shared" si="3"/>
        <v>0</v>
      </c>
      <c r="O18" s="42"/>
      <c r="P18" s="42"/>
      <c r="Q18" s="42">
        <f t="shared" si="4"/>
        <v>0</v>
      </c>
      <c r="R18" s="42"/>
      <c r="S18" s="42"/>
      <c r="T18" s="42">
        <f t="shared" si="5"/>
        <v>0</v>
      </c>
      <c r="U18" s="42"/>
      <c r="V18" s="42"/>
      <c r="W18" s="42">
        <f t="shared" si="6"/>
        <v>0</v>
      </c>
      <c r="X18" s="42"/>
      <c r="Y18" s="42"/>
      <c r="Z18" s="42">
        <f t="shared" si="7"/>
        <v>0</v>
      </c>
      <c r="AA18" s="42"/>
      <c r="AB18" s="42"/>
      <c r="AC18" s="42">
        <f t="shared" si="8"/>
        <v>0</v>
      </c>
      <c r="AD18" s="42"/>
      <c r="AE18" s="53"/>
      <c r="AF18" s="42">
        <f t="shared" si="9"/>
        <v>0</v>
      </c>
      <c r="AG18" s="8" t="s">
        <v>316</v>
      </c>
      <c r="AH18" s="51">
        <f t="shared" si="10"/>
        <v>440</v>
      </c>
      <c r="AI18" s="174">
        <v>440</v>
      </c>
    </row>
    <row r="19" spans="1:35" ht="17.25">
      <c r="A19" s="4" t="s">
        <v>3</v>
      </c>
      <c r="B19" s="4" t="s">
        <v>30</v>
      </c>
      <c r="C19" s="11" t="s">
        <v>42</v>
      </c>
      <c r="D19" s="42">
        <v>9</v>
      </c>
      <c r="E19" s="42">
        <f t="shared" si="0"/>
        <v>3480</v>
      </c>
      <c r="F19" s="53"/>
      <c r="G19" s="53"/>
      <c r="H19" s="42">
        <f t="shared" si="1"/>
        <v>0</v>
      </c>
      <c r="I19" s="42"/>
      <c r="J19" s="42"/>
      <c r="K19" s="42">
        <f t="shared" si="2"/>
        <v>0</v>
      </c>
      <c r="L19" s="42"/>
      <c r="M19" s="42"/>
      <c r="N19" s="42">
        <f t="shared" si="3"/>
        <v>0</v>
      </c>
      <c r="O19" s="42"/>
      <c r="P19" s="42"/>
      <c r="Q19" s="42">
        <f t="shared" si="4"/>
        <v>0</v>
      </c>
      <c r="R19" s="42">
        <v>3</v>
      </c>
      <c r="S19" s="42">
        <v>380</v>
      </c>
      <c r="T19" s="42">
        <f t="shared" si="5"/>
        <v>1140</v>
      </c>
      <c r="U19" s="42">
        <v>4</v>
      </c>
      <c r="V19" s="42">
        <v>395</v>
      </c>
      <c r="W19" s="42">
        <f t="shared" si="6"/>
        <v>1580</v>
      </c>
      <c r="X19" s="42">
        <v>2</v>
      </c>
      <c r="Y19" s="42">
        <v>380</v>
      </c>
      <c r="Z19" s="42">
        <f t="shared" si="7"/>
        <v>760</v>
      </c>
      <c r="AA19" s="42"/>
      <c r="AB19" s="42"/>
      <c r="AC19" s="42">
        <f t="shared" si="8"/>
        <v>0</v>
      </c>
      <c r="AD19" s="42"/>
      <c r="AE19" s="53"/>
      <c r="AF19" s="42">
        <f t="shared" si="9"/>
        <v>0</v>
      </c>
      <c r="AG19" s="4" t="s">
        <v>313</v>
      </c>
      <c r="AH19" s="51">
        <f t="shared" si="10"/>
        <v>434.44444444444446</v>
      </c>
      <c r="AI19" s="174">
        <v>3910</v>
      </c>
    </row>
    <row r="20" spans="1:35" s="58" customFormat="1" ht="17.25">
      <c r="A20" s="4" t="s">
        <v>3</v>
      </c>
      <c r="B20" s="4" t="s">
        <v>30</v>
      </c>
      <c r="C20" s="11" t="s">
        <v>53</v>
      </c>
      <c r="D20" s="42">
        <v>9</v>
      </c>
      <c r="E20" s="42">
        <f t="shared" si="0"/>
        <v>3540</v>
      </c>
      <c r="F20" s="53">
        <v>2</v>
      </c>
      <c r="G20" s="53">
        <v>395</v>
      </c>
      <c r="H20" s="42">
        <f t="shared" si="1"/>
        <v>790</v>
      </c>
      <c r="I20" s="42">
        <v>2</v>
      </c>
      <c r="J20" s="42">
        <v>395</v>
      </c>
      <c r="K20" s="42">
        <f t="shared" si="2"/>
        <v>790</v>
      </c>
      <c r="L20" s="42"/>
      <c r="M20" s="42"/>
      <c r="N20" s="42">
        <f t="shared" si="3"/>
        <v>0</v>
      </c>
      <c r="O20" s="42">
        <v>1</v>
      </c>
      <c r="P20" s="42">
        <v>380</v>
      </c>
      <c r="Q20" s="42">
        <f t="shared" si="4"/>
        <v>380</v>
      </c>
      <c r="R20" s="42">
        <v>4</v>
      </c>
      <c r="S20" s="42">
        <v>395</v>
      </c>
      <c r="T20" s="42">
        <f t="shared" si="5"/>
        <v>1580</v>
      </c>
      <c r="U20" s="42"/>
      <c r="V20" s="42"/>
      <c r="W20" s="42">
        <f t="shared" si="6"/>
        <v>0</v>
      </c>
      <c r="X20" s="42"/>
      <c r="Y20" s="42"/>
      <c r="Z20" s="42">
        <f t="shared" si="7"/>
        <v>0</v>
      </c>
      <c r="AA20" s="42"/>
      <c r="AB20" s="42"/>
      <c r="AC20" s="42">
        <f t="shared" si="8"/>
        <v>0</v>
      </c>
      <c r="AD20" s="42"/>
      <c r="AE20" s="53"/>
      <c r="AF20" s="42">
        <f t="shared" si="9"/>
        <v>0</v>
      </c>
      <c r="AG20" s="4" t="s">
        <v>313</v>
      </c>
      <c r="AH20" s="51">
        <f t="shared" si="10"/>
        <v>437.77777777777777</v>
      </c>
      <c r="AI20" s="174">
        <v>3940</v>
      </c>
    </row>
    <row r="21" spans="1:35" ht="17.25">
      <c r="A21" s="3" t="s">
        <v>3</v>
      </c>
      <c r="B21" s="4" t="s">
        <v>30</v>
      </c>
      <c r="C21" s="11" t="s">
        <v>88</v>
      </c>
      <c r="D21" s="42">
        <v>6</v>
      </c>
      <c r="E21" s="42">
        <f t="shared" si="0"/>
        <v>2325</v>
      </c>
      <c r="F21" s="53"/>
      <c r="G21" s="53"/>
      <c r="H21" s="42">
        <f t="shared" si="1"/>
        <v>0</v>
      </c>
      <c r="I21" s="42"/>
      <c r="J21" s="42"/>
      <c r="K21" s="42">
        <f t="shared" si="2"/>
        <v>0</v>
      </c>
      <c r="L21" s="42">
        <v>1</v>
      </c>
      <c r="M21" s="42">
        <v>395</v>
      </c>
      <c r="N21" s="42">
        <f t="shared" si="3"/>
        <v>395</v>
      </c>
      <c r="O21" s="42">
        <v>1</v>
      </c>
      <c r="P21" s="42">
        <v>395</v>
      </c>
      <c r="Q21" s="42">
        <f t="shared" si="4"/>
        <v>395</v>
      </c>
      <c r="R21" s="42">
        <v>2</v>
      </c>
      <c r="S21" s="42">
        <v>380</v>
      </c>
      <c r="T21" s="42">
        <f t="shared" si="5"/>
        <v>760</v>
      </c>
      <c r="U21" s="42">
        <v>1</v>
      </c>
      <c r="V21" s="42">
        <v>395</v>
      </c>
      <c r="W21" s="42">
        <f t="shared" si="6"/>
        <v>395</v>
      </c>
      <c r="X21" s="42">
        <v>1</v>
      </c>
      <c r="Y21" s="42">
        <v>380</v>
      </c>
      <c r="Z21" s="42">
        <f t="shared" si="7"/>
        <v>380</v>
      </c>
      <c r="AA21" s="42"/>
      <c r="AB21" s="42"/>
      <c r="AC21" s="42">
        <f t="shared" si="8"/>
        <v>0</v>
      </c>
      <c r="AD21" s="42"/>
      <c r="AE21" s="53"/>
      <c r="AF21" s="42">
        <f t="shared" si="9"/>
        <v>0</v>
      </c>
      <c r="AG21" s="4" t="s">
        <v>313</v>
      </c>
      <c r="AH21" s="51">
        <f t="shared" si="10"/>
        <v>434.1666666666667</v>
      </c>
      <c r="AI21" s="174">
        <v>2605</v>
      </c>
    </row>
    <row r="22" spans="1:35" ht="17.25">
      <c r="A22" s="3" t="s">
        <v>3</v>
      </c>
      <c r="B22" s="4" t="s">
        <v>5</v>
      </c>
      <c r="C22" s="11" t="s">
        <v>81</v>
      </c>
      <c r="D22" s="42">
        <v>10.6</v>
      </c>
      <c r="E22" s="42">
        <f t="shared" si="0"/>
        <v>4102</v>
      </c>
      <c r="F22" s="53">
        <v>1</v>
      </c>
      <c r="G22" s="53">
        <v>385</v>
      </c>
      <c r="H22" s="42">
        <f t="shared" si="1"/>
        <v>385</v>
      </c>
      <c r="I22" s="42">
        <v>0.6</v>
      </c>
      <c r="J22" s="42">
        <v>395</v>
      </c>
      <c r="K22" s="42">
        <f t="shared" si="2"/>
        <v>237</v>
      </c>
      <c r="L22" s="42">
        <v>2</v>
      </c>
      <c r="M22" s="42">
        <v>395</v>
      </c>
      <c r="N22" s="42">
        <f t="shared" si="3"/>
        <v>790</v>
      </c>
      <c r="O22" s="42">
        <v>2</v>
      </c>
      <c r="P22" s="42">
        <v>395</v>
      </c>
      <c r="Q22" s="42">
        <f t="shared" si="4"/>
        <v>790</v>
      </c>
      <c r="R22" s="42"/>
      <c r="S22" s="42"/>
      <c r="T22" s="42">
        <f t="shared" si="5"/>
        <v>0</v>
      </c>
      <c r="U22" s="42">
        <v>1</v>
      </c>
      <c r="V22" s="42">
        <v>380</v>
      </c>
      <c r="W22" s="42">
        <f t="shared" si="6"/>
        <v>380</v>
      </c>
      <c r="X22" s="42">
        <v>2</v>
      </c>
      <c r="Y22" s="42">
        <v>380</v>
      </c>
      <c r="Z22" s="42">
        <f t="shared" si="7"/>
        <v>760</v>
      </c>
      <c r="AA22" s="42"/>
      <c r="AB22" s="42"/>
      <c r="AC22" s="42">
        <f t="shared" si="8"/>
        <v>0</v>
      </c>
      <c r="AD22" s="42">
        <v>2</v>
      </c>
      <c r="AE22" s="53">
        <v>380</v>
      </c>
      <c r="AF22" s="42">
        <f t="shared" si="9"/>
        <v>760</v>
      </c>
      <c r="AG22" s="4" t="s">
        <v>313</v>
      </c>
      <c r="AH22" s="51">
        <f t="shared" si="10"/>
        <v>432.8301886792453</v>
      </c>
      <c r="AI22" s="174">
        <v>4588</v>
      </c>
    </row>
    <row r="23" spans="1:35" ht="33">
      <c r="A23" s="3" t="s">
        <v>136</v>
      </c>
      <c r="B23" s="4" t="s">
        <v>137</v>
      </c>
      <c r="C23" s="11" t="s">
        <v>141</v>
      </c>
      <c r="D23" s="42">
        <v>3.5</v>
      </c>
      <c r="E23" s="42">
        <f t="shared" si="0"/>
        <v>2792.5</v>
      </c>
      <c r="F23" s="53">
        <v>0.5</v>
      </c>
      <c r="G23" s="53">
        <v>803</v>
      </c>
      <c r="H23" s="42">
        <f t="shared" si="1"/>
        <v>401.5</v>
      </c>
      <c r="I23" s="42"/>
      <c r="J23" s="42"/>
      <c r="K23" s="42">
        <f t="shared" si="2"/>
        <v>0</v>
      </c>
      <c r="L23" s="42"/>
      <c r="M23" s="42"/>
      <c r="N23" s="42">
        <f t="shared" si="3"/>
        <v>0</v>
      </c>
      <c r="O23" s="42">
        <v>1</v>
      </c>
      <c r="P23" s="42">
        <v>803</v>
      </c>
      <c r="Q23" s="42">
        <f t="shared" si="4"/>
        <v>803</v>
      </c>
      <c r="R23" s="42">
        <v>1</v>
      </c>
      <c r="S23" s="42">
        <v>800</v>
      </c>
      <c r="T23" s="42">
        <f t="shared" si="5"/>
        <v>800</v>
      </c>
      <c r="U23" s="42">
        <v>1</v>
      </c>
      <c r="V23" s="42">
        <v>788</v>
      </c>
      <c r="W23" s="42">
        <f t="shared" si="6"/>
        <v>788</v>
      </c>
      <c r="X23" s="42"/>
      <c r="Y23" s="42"/>
      <c r="Z23" s="42">
        <f t="shared" si="7"/>
        <v>0</v>
      </c>
      <c r="AA23" s="42"/>
      <c r="AB23" s="42"/>
      <c r="AC23" s="42">
        <f t="shared" si="8"/>
        <v>0</v>
      </c>
      <c r="AD23" s="42"/>
      <c r="AE23" s="53"/>
      <c r="AF23" s="42">
        <f t="shared" si="9"/>
        <v>0</v>
      </c>
      <c r="AG23" s="4" t="s">
        <v>309</v>
      </c>
      <c r="AH23" s="51">
        <f t="shared" si="10"/>
        <v>840.8571428571429</v>
      </c>
      <c r="AI23" s="174">
        <v>2943</v>
      </c>
    </row>
    <row r="24" spans="1:35" ht="33">
      <c r="A24" s="3" t="s">
        <v>136</v>
      </c>
      <c r="B24" s="4" t="s">
        <v>137</v>
      </c>
      <c r="C24" s="11" t="s">
        <v>80</v>
      </c>
      <c r="D24" s="42">
        <v>5.5</v>
      </c>
      <c r="E24" s="42">
        <f t="shared" si="0"/>
        <v>3402</v>
      </c>
      <c r="F24" s="53"/>
      <c r="G24" s="53"/>
      <c r="H24" s="42">
        <f t="shared" si="1"/>
        <v>0</v>
      </c>
      <c r="I24" s="42">
        <v>1</v>
      </c>
      <c r="J24" s="42">
        <v>615</v>
      </c>
      <c r="K24" s="42">
        <f t="shared" si="2"/>
        <v>615</v>
      </c>
      <c r="L24" s="42"/>
      <c r="M24" s="42"/>
      <c r="N24" s="42">
        <f t="shared" si="3"/>
        <v>0</v>
      </c>
      <c r="O24" s="42"/>
      <c r="P24" s="42"/>
      <c r="Q24" s="42">
        <f t="shared" si="4"/>
        <v>0</v>
      </c>
      <c r="R24" s="42">
        <v>0.5</v>
      </c>
      <c r="S24" s="42">
        <v>660</v>
      </c>
      <c r="T24" s="42">
        <f t="shared" si="5"/>
        <v>330</v>
      </c>
      <c r="U24" s="42">
        <v>1</v>
      </c>
      <c r="V24" s="42">
        <v>661</v>
      </c>
      <c r="W24" s="42">
        <f t="shared" si="6"/>
        <v>661</v>
      </c>
      <c r="X24" s="42">
        <v>1</v>
      </c>
      <c r="Y24" s="42">
        <v>654</v>
      </c>
      <c r="Z24" s="42">
        <f t="shared" si="7"/>
        <v>654</v>
      </c>
      <c r="AA24" s="42">
        <f>1+1</f>
        <v>2</v>
      </c>
      <c r="AB24" s="42">
        <v>571</v>
      </c>
      <c r="AC24" s="42">
        <v>1142</v>
      </c>
      <c r="AD24" s="42"/>
      <c r="AE24" s="53"/>
      <c r="AF24" s="42">
        <f t="shared" si="9"/>
        <v>0</v>
      </c>
      <c r="AG24" s="4" t="s">
        <v>315</v>
      </c>
      <c r="AH24" s="51">
        <f t="shared" si="10"/>
        <v>662.9090909090909</v>
      </c>
      <c r="AI24" s="174">
        <v>3646</v>
      </c>
    </row>
    <row r="25" spans="1:35" ht="49.5">
      <c r="A25" s="3" t="s">
        <v>27</v>
      </c>
      <c r="B25" s="4" t="s">
        <v>5</v>
      </c>
      <c r="C25" s="6" t="s">
        <v>35</v>
      </c>
      <c r="D25" s="42">
        <v>1.5</v>
      </c>
      <c r="E25" s="42">
        <f t="shared" si="0"/>
        <v>600</v>
      </c>
      <c r="F25" s="53"/>
      <c r="G25" s="53"/>
      <c r="H25" s="42">
        <f t="shared" si="1"/>
        <v>0</v>
      </c>
      <c r="I25" s="42"/>
      <c r="J25" s="42"/>
      <c r="K25" s="42">
        <f t="shared" si="2"/>
        <v>0</v>
      </c>
      <c r="L25" s="42">
        <v>1</v>
      </c>
      <c r="M25" s="42">
        <v>600</v>
      </c>
      <c r="N25" s="42">
        <f t="shared" si="3"/>
        <v>600</v>
      </c>
      <c r="O25" s="42"/>
      <c r="P25" s="42"/>
      <c r="Q25" s="42">
        <f t="shared" si="4"/>
        <v>0</v>
      </c>
      <c r="R25" s="42"/>
      <c r="S25" s="42"/>
      <c r="T25" s="42">
        <f t="shared" si="5"/>
        <v>0</v>
      </c>
      <c r="U25" s="42"/>
      <c r="V25" s="42"/>
      <c r="W25" s="42">
        <f t="shared" si="6"/>
        <v>0</v>
      </c>
      <c r="X25" s="42"/>
      <c r="Y25" s="42"/>
      <c r="Z25" s="42">
        <f t="shared" si="7"/>
        <v>0</v>
      </c>
      <c r="AA25" s="42"/>
      <c r="AB25" s="42"/>
      <c r="AC25" s="42">
        <f aca="true" t="shared" si="11" ref="AC25:AC30">AB25*AA25</f>
        <v>0</v>
      </c>
      <c r="AD25" s="42"/>
      <c r="AE25" s="53"/>
      <c r="AF25" s="42">
        <f t="shared" si="9"/>
        <v>0</v>
      </c>
      <c r="AG25" s="2" t="s">
        <v>315</v>
      </c>
      <c r="AH25" s="51">
        <f t="shared" si="10"/>
        <v>600</v>
      </c>
      <c r="AI25" s="174">
        <v>900</v>
      </c>
    </row>
    <row r="26" spans="1:35" ht="17.25">
      <c r="A26" s="3" t="s">
        <v>139</v>
      </c>
      <c r="B26" s="4" t="s">
        <v>5</v>
      </c>
      <c r="C26" s="11" t="s">
        <v>128</v>
      </c>
      <c r="D26" s="42">
        <v>4.4</v>
      </c>
      <c r="E26" s="42">
        <f t="shared" si="0"/>
        <v>2626</v>
      </c>
      <c r="F26" s="53"/>
      <c r="G26" s="53"/>
      <c r="H26" s="42">
        <f t="shared" si="1"/>
        <v>0</v>
      </c>
      <c r="I26" s="42"/>
      <c r="J26" s="42"/>
      <c r="K26" s="42">
        <f t="shared" si="2"/>
        <v>0</v>
      </c>
      <c r="L26" s="42">
        <v>0.5</v>
      </c>
      <c r="M26" s="42">
        <v>778</v>
      </c>
      <c r="N26" s="42">
        <f t="shared" si="3"/>
        <v>389</v>
      </c>
      <c r="O26" s="42">
        <v>1</v>
      </c>
      <c r="P26" s="42">
        <v>787</v>
      </c>
      <c r="Q26" s="42">
        <f t="shared" si="4"/>
        <v>787</v>
      </c>
      <c r="R26" s="42"/>
      <c r="S26" s="42"/>
      <c r="T26" s="42">
        <f t="shared" si="5"/>
        <v>0</v>
      </c>
      <c r="U26" s="42"/>
      <c r="V26" s="42"/>
      <c r="W26" s="42">
        <f t="shared" si="6"/>
        <v>0</v>
      </c>
      <c r="X26" s="42">
        <v>0.5</v>
      </c>
      <c r="Y26" s="42">
        <v>700</v>
      </c>
      <c r="Z26" s="42">
        <f t="shared" si="7"/>
        <v>350</v>
      </c>
      <c r="AA26" s="42">
        <v>0.4</v>
      </c>
      <c r="AB26" s="42">
        <v>742.5</v>
      </c>
      <c r="AC26" s="42">
        <f t="shared" si="11"/>
        <v>297</v>
      </c>
      <c r="AD26" s="42">
        <v>1</v>
      </c>
      <c r="AE26" s="53">
        <v>803</v>
      </c>
      <c r="AF26" s="42">
        <f t="shared" si="9"/>
        <v>803</v>
      </c>
      <c r="AG26" s="4" t="s">
        <v>307</v>
      </c>
      <c r="AH26" s="51">
        <f t="shared" si="10"/>
        <v>796.8181818181818</v>
      </c>
      <c r="AI26" s="174">
        <v>3506</v>
      </c>
    </row>
    <row r="27" spans="1:35" ht="17.25">
      <c r="A27" s="3" t="s">
        <v>29</v>
      </c>
      <c r="B27" s="4" t="s">
        <v>65</v>
      </c>
      <c r="C27" s="11" t="s">
        <v>72</v>
      </c>
      <c r="D27" s="42">
        <v>0.85</v>
      </c>
      <c r="E27" s="42">
        <f t="shared" si="0"/>
        <v>517.5999999999999</v>
      </c>
      <c r="F27" s="53"/>
      <c r="G27" s="53"/>
      <c r="H27" s="42">
        <f t="shared" si="1"/>
        <v>0</v>
      </c>
      <c r="I27" s="42"/>
      <c r="J27" s="42"/>
      <c r="K27" s="42">
        <f t="shared" si="2"/>
        <v>0</v>
      </c>
      <c r="L27" s="42">
        <v>0.6</v>
      </c>
      <c r="M27" s="42">
        <v>661</v>
      </c>
      <c r="N27" s="42">
        <f t="shared" si="3"/>
        <v>396.59999999999997</v>
      </c>
      <c r="O27" s="42"/>
      <c r="P27" s="42"/>
      <c r="Q27" s="42">
        <f t="shared" si="4"/>
        <v>0</v>
      </c>
      <c r="R27" s="42"/>
      <c r="S27" s="42"/>
      <c r="T27" s="42">
        <f t="shared" si="5"/>
        <v>0</v>
      </c>
      <c r="U27" s="42"/>
      <c r="V27" s="42"/>
      <c r="W27" s="42">
        <f t="shared" si="6"/>
        <v>0</v>
      </c>
      <c r="X27" s="42"/>
      <c r="Y27" s="42"/>
      <c r="Z27" s="42">
        <f t="shared" si="7"/>
        <v>0</v>
      </c>
      <c r="AA27" s="42">
        <v>0.25</v>
      </c>
      <c r="AB27" s="42">
        <v>484</v>
      </c>
      <c r="AC27" s="42">
        <f t="shared" si="11"/>
        <v>121</v>
      </c>
      <c r="AD27" s="42"/>
      <c r="AE27" s="53"/>
      <c r="AF27" s="42">
        <f t="shared" si="9"/>
        <v>0</v>
      </c>
      <c r="AG27" s="2" t="s">
        <v>315</v>
      </c>
      <c r="AH27" s="51">
        <f t="shared" si="10"/>
        <v>614.3529411764706</v>
      </c>
      <c r="AI27" s="174">
        <v>522.2</v>
      </c>
    </row>
    <row r="28" spans="1:35" ht="17.25">
      <c r="A28" s="3" t="s">
        <v>138</v>
      </c>
      <c r="B28" s="4" t="s">
        <v>4</v>
      </c>
      <c r="C28" s="11" t="s">
        <v>142</v>
      </c>
      <c r="D28" s="42">
        <v>4</v>
      </c>
      <c r="E28" s="42">
        <f t="shared" si="0"/>
        <v>3528</v>
      </c>
      <c r="F28" s="53"/>
      <c r="G28" s="53"/>
      <c r="H28" s="42">
        <f t="shared" si="1"/>
        <v>0</v>
      </c>
      <c r="I28" s="42"/>
      <c r="J28" s="42"/>
      <c r="K28" s="42">
        <f t="shared" si="2"/>
        <v>0</v>
      </c>
      <c r="L28" s="42">
        <v>1</v>
      </c>
      <c r="M28" s="42">
        <v>788</v>
      </c>
      <c r="N28" s="42">
        <f t="shared" si="3"/>
        <v>788</v>
      </c>
      <c r="O28" s="42">
        <v>1</v>
      </c>
      <c r="P28" s="42">
        <v>787</v>
      </c>
      <c r="Q28" s="42">
        <f t="shared" si="4"/>
        <v>787</v>
      </c>
      <c r="R28" s="42">
        <v>1</v>
      </c>
      <c r="S28" s="42">
        <v>800</v>
      </c>
      <c r="T28" s="42">
        <f t="shared" si="5"/>
        <v>800</v>
      </c>
      <c r="U28" s="42"/>
      <c r="V28" s="42"/>
      <c r="W28" s="42">
        <f t="shared" si="6"/>
        <v>0</v>
      </c>
      <c r="X28" s="42">
        <v>0.5</v>
      </c>
      <c r="Y28" s="42">
        <v>700</v>
      </c>
      <c r="Z28" s="42">
        <f t="shared" si="7"/>
        <v>350</v>
      </c>
      <c r="AA28" s="42"/>
      <c r="AB28" s="42"/>
      <c r="AC28" s="42">
        <f t="shared" si="11"/>
        <v>0</v>
      </c>
      <c r="AD28" s="42">
        <v>1</v>
      </c>
      <c r="AE28" s="53">
        <v>803</v>
      </c>
      <c r="AF28" s="42">
        <f t="shared" si="9"/>
        <v>803</v>
      </c>
      <c r="AG28" s="4" t="s">
        <v>309</v>
      </c>
      <c r="AH28" s="51">
        <f t="shared" si="10"/>
        <v>842.5</v>
      </c>
      <c r="AI28" s="174">
        <v>3370</v>
      </c>
    </row>
    <row r="29" spans="1:35" ht="17.25">
      <c r="A29" s="3" t="s">
        <v>138</v>
      </c>
      <c r="B29" s="4" t="s">
        <v>4</v>
      </c>
      <c r="C29" s="11" t="s">
        <v>144</v>
      </c>
      <c r="D29" s="42">
        <v>3.5</v>
      </c>
      <c r="E29" s="42">
        <f t="shared" si="0"/>
        <v>2070</v>
      </c>
      <c r="F29" s="53"/>
      <c r="G29" s="53"/>
      <c r="H29" s="42">
        <f t="shared" si="1"/>
        <v>0</v>
      </c>
      <c r="I29" s="42"/>
      <c r="J29" s="42"/>
      <c r="K29" s="42">
        <f t="shared" si="2"/>
        <v>0</v>
      </c>
      <c r="L29" s="42">
        <v>1</v>
      </c>
      <c r="M29" s="42">
        <v>661</v>
      </c>
      <c r="N29" s="42">
        <f t="shared" si="3"/>
        <v>661</v>
      </c>
      <c r="O29" s="42"/>
      <c r="P29" s="42"/>
      <c r="Q29" s="42">
        <f t="shared" si="4"/>
        <v>0</v>
      </c>
      <c r="R29" s="42">
        <v>0.5</v>
      </c>
      <c r="S29" s="42">
        <v>440</v>
      </c>
      <c r="T29" s="42">
        <f t="shared" si="5"/>
        <v>220</v>
      </c>
      <c r="U29" s="42"/>
      <c r="V29" s="42"/>
      <c r="W29" s="42">
        <f t="shared" si="6"/>
        <v>0</v>
      </c>
      <c r="X29" s="42">
        <v>1</v>
      </c>
      <c r="Y29" s="42">
        <v>529</v>
      </c>
      <c r="Z29" s="42">
        <f t="shared" si="7"/>
        <v>529</v>
      </c>
      <c r="AA29" s="42"/>
      <c r="AB29" s="42"/>
      <c r="AC29" s="42">
        <f t="shared" si="11"/>
        <v>0</v>
      </c>
      <c r="AD29" s="42">
        <v>1</v>
      </c>
      <c r="AE29" s="53">
        <v>660</v>
      </c>
      <c r="AF29" s="42">
        <f t="shared" si="9"/>
        <v>660</v>
      </c>
      <c r="AG29" s="4" t="s">
        <v>315</v>
      </c>
      <c r="AH29" s="51">
        <f t="shared" si="10"/>
        <v>616.2857142857143</v>
      </c>
      <c r="AI29" s="174">
        <v>2157</v>
      </c>
    </row>
    <row r="30" spans="1:35" ht="16.5" customHeight="1" hidden="1">
      <c r="A30" s="3" t="s">
        <v>138</v>
      </c>
      <c r="B30" s="4" t="s">
        <v>4</v>
      </c>
      <c r="C30" s="11" t="s">
        <v>145</v>
      </c>
      <c r="D30" s="42">
        <v>0</v>
      </c>
      <c r="E30" s="42">
        <f t="shared" si="0"/>
        <v>0</v>
      </c>
      <c r="F30" s="53"/>
      <c r="G30" s="53"/>
      <c r="H30" s="42">
        <f t="shared" si="1"/>
        <v>0</v>
      </c>
      <c r="I30" s="42"/>
      <c r="J30" s="42"/>
      <c r="K30" s="42">
        <f t="shared" si="2"/>
        <v>0</v>
      </c>
      <c r="L30" s="42"/>
      <c r="M30" s="42"/>
      <c r="N30" s="42">
        <f t="shared" si="3"/>
        <v>0</v>
      </c>
      <c r="O30" s="42"/>
      <c r="P30" s="42"/>
      <c r="Q30" s="42">
        <f t="shared" si="4"/>
        <v>0</v>
      </c>
      <c r="R30" s="42"/>
      <c r="S30" s="42"/>
      <c r="T30" s="42">
        <f t="shared" si="5"/>
        <v>0</v>
      </c>
      <c r="U30" s="42"/>
      <c r="V30" s="42"/>
      <c r="W30" s="42">
        <f t="shared" si="6"/>
        <v>0</v>
      </c>
      <c r="X30" s="42"/>
      <c r="Y30" s="42"/>
      <c r="Z30" s="42">
        <f t="shared" si="7"/>
        <v>0</v>
      </c>
      <c r="AA30" s="42"/>
      <c r="AB30" s="42"/>
      <c r="AC30" s="42">
        <f t="shared" si="11"/>
        <v>0</v>
      </c>
      <c r="AD30" s="42"/>
      <c r="AE30" s="53"/>
      <c r="AF30" s="42">
        <f t="shared" si="9"/>
        <v>0</v>
      </c>
      <c r="AG30" s="4" t="s">
        <v>22</v>
      </c>
      <c r="AH30" s="51" t="e">
        <f t="shared" si="10"/>
        <v>#DIV/0!</v>
      </c>
      <c r="AI30" s="174">
        <v>0</v>
      </c>
    </row>
    <row r="31" spans="1:35" ht="15.75" customHeight="1" hidden="1" thickBot="1">
      <c r="A31" s="120" t="s">
        <v>270</v>
      </c>
      <c r="B31" s="120"/>
      <c r="C31" s="120" t="s">
        <v>270</v>
      </c>
      <c r="D31" s="121">
        <v>0</v>
      </c>
      <c r="E31" s="122">
        <f>SUM(E15:E30)</f>
        <v>31812.1</v>
      </c>
      <c r="F31" s="121">
        <f>SUM(F15:F30)</f>
        <v>5.5</v>
      </c>
      <c r="G31" s="121">
        <f>SUM(G15:G30)</f>
        <v>2561</v>
      </c>
      <c r="H31" s="121">
        <f>SUM(H15:H30)</f>
        <v>2554.5</v>
      </c>
      <c r="I31" s="121">
        <f>SUM(I15:I30)</f>
        <v>4.6</v>
      </c>
      <c r="J31" s="121"/>
      <c r="K31" s="121">
        <f>SUM(K15:K30)</f>
        <v>2096</v>
      </c>
      <c r="L31" s="121">
        <f>SUM(L15:L30)</f>
        <v>7.6</v>
      </c>
      <c r="M31" s="121"/>
      <c r="N31" s="123">
        <f>SUM(N15:N30)</f>
        <v>4293.6</v>
      </c>
      <c r="O31" s="121">
        <f>SUM(O15:O30)</f>
        <v>7</v>
      </c>
      <c r="P31" s="121"/>
      <c r="Q31" s="121">
        <f>SUM(Q15:Q30)</f>
        <v>3942</v>
      </c>
      <c r="R31" s="121">
        <f>SUM(R15:R30)</f>
        <v>13</v>
      </c>
      <c r="S31" s="121"/>
      <c r="T31" s="121">
        <f>SUM(T15:T30)</f>
        <v>6084</v>
      </c>
      <c r="U31" s="121">
        <f>SUM(U15:U30)</f>
        <v>8</v>
      </c>
      <c r="V31" s="121"/>
      <c r="W31" s="121">
        <f>SUM(W15:W30)</f>
        <v>3804</v>
      </c>
      <c r="X31" s="121">
        <f>SUM(X15:X30)</f>
        <v>8</v>
      </c>
      <c r="Y31" s="121"/>
      <c r="Z31" s="121">
        <f>SUM(Z15:Z30)</f>
        <v>3783</v>
      </c>
      <c r="AA31" s="121">
        <f>SUM(AA15:AA30)</f>
        <v>3.15</v>
      </c>
      <c r="AB31" s="121"/>
      <c r="AC31" s="121">
        <f>SUM(AC15:AC30)</f>
        <v>1775</v>
      </c>
      <c r="AD31" s="121">
        <f>SUM(AD15:AD30)</f>
        <v>6</v>
      </c>
      <c r="AE31" s="121"/>
      <c r="AF31" s="121">
        <f>SUM(AF15:AF30)</f>
        <v>3480</v>
      </c>
      <c r="AG31" s="121"/>
      <c r="AH31" s="51" t="e">
        <f t="shared" si="10"/>
        <v>#DIV/0!</v>
      </c>
      <c r="AI31" s="174">
        <v>0</v>
      </c>
    </row>
    <row r="32" spans="1:35" ht="17.25">
      <c r="A32" s="3" t="s">
        <v>138</v>
      </c>
      <c r="B32" s="4" t="s">
        <v>4</v>
      </c>
      <c r="C32" s="52" t="s">
        <v>145</v>
      </c>
      <c r="D32" s="53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 t="s">
        <v>309</v>
      </c>
      <c r="AH32" s="51">
        <v>0</v>
      </c>
      <c r="AI32" s="174">
        <v>0</v>
      </c>
    </row>
    <row r="33" spans="1:35" ht="17.25" hidden="1">
      <c r="A33" s="56"/>
      <c r="B33" s="56"/>
      <c r="C33" s="56"/>
      <c r="D33" s="58">
        <f>SUM(D6:D32)</f>
        <v>143.1</v>
      </c>
      <c r="E33" s="58">
        <f aca="true" t="shared" si="12" ref="E33:AI33">SUM(E6:E32)</f>
        <v>100426.19750000001</v>
      </c>
      <c r="F33" s="58">
        <f t="shared" si="12"/>
        <v>22</v>
      </c>
      <c r="G33" s="58">
        <f t="shared" si="12"/>
        <v>7691</v>
      </c>
      <c r="H33" s="58">
        <f t="shared" si="12"/>
        <v>9998</v>
      </c>
      <c r="I33" s="58">
        <f t="shared" si="12"/>
        <v>17.2</v>
      </c>
      <c r="J33" s="58">
        <f t="shared" si="12"/>
        <v>3569</v>
      </c>
      <c r="K33" s="58">
        <f t="shared" si="12"/>
        <v>7832</v>
      </c>
      <c r="L33" s="58">
        <f t="shared" si="12"/>
        <v>27.700000000000003</v>
      </c>
      <c r="M33" s="58">
        <f t="shared" si="12"/>
        <v>8139</v>
      </c>
      <c r="N33" s="58">
        <f t="shared" si="12"/>
        <v>14438.2</v>
      </c>
      <c r="O33" s="58">
        <f t="shared" si="12"/>
        <v>22</v>
      </c>
      <c r="P33" s="58">
        <f t="shared" si="12"/>
        <v>5269</v>
      </c>
      <c r="Q33" s="58">
        <f t="shared" si="12"/>
        <v>11506</v>
      </c>
      <c r="R33" s="58">
        <f t="shared" si="12"/>
        <v>32</v>
      </c>
      <c r="S33" s="58">
        <f t="shared" si="12"/>
        <v>6329</v>
      </c>
      <c r="T33" s="58">
        <f t="shared" si="12"/>
        <v>15328</v>
      </c>
      <c r="U33" s="58">
        <f t="shared" si="12"/>
        <v>27</v>
      </c>
      <c r="V33" s="58">
        <f t="shared" si="12"/>
        <v>5424</v>
      </c>
      <c r="W33" s="58">
        <f t="shared" si="12"/>
        <v>12713</v>
      </c>
      <c r="X33" s="58">
        <f t="shared" si="12"/>
        <v>23</v>
      </c>
      <c r="Y33" s="58">
        <f t="shared" si="12"/>
        <v>5858</v>
      </c>
      <c r="Z33" s="58">
        <f t="shared" si="12"/>
        <v>10841</v>
      </c>
      <c r="AA33" s="58">
        <f t="shared" si="12"/>
        <v>9.05</v>
      </c>
      <c r="AB33" s="58">
        <f t="shared" si="12"/>
        <v>3415.0699999999997</v>
      </c>
      <c r="AC33" s="58">
        <f t="shared" si="12"/>
        <v>5022.9974999999995</v>
      </c>
      <c r="AD33" s="58">
        <f t="shared" si="12"/>
        <v>25</v>
      </c>
      <c r="AE33" s="58">
        <f t="shared" si="12"/>
        <v>5847</v>
      </c>
      <c r="AF33" s="58">
        <f t="shared" si="12"/>
        <v>12747</v>
      </c>
      <c r="AG33" s="58">
        <f t="shared" si="12"/>
        <v>0</v>
      </c>
      <c r="AH33" s="58" t="e">
        <f t="shared" si="12"/>
        <v>#DIV/0!</v>
      </c>
      <c r="AI33" s="58">
        <f t="shared" si="12"/>
        <v>75637.7</v>
      </c>
    </row>
  </sheetData>
  <sheetProtection/>
  <mergeCells count="8">
    <mergeCell ref="A2:AH2"/>
    <mergeCell ref="A1:AH1"/>
    <mergeCell ref="D3:D4"/>
    <mergeCell ref="A3:C3"/>
    <mergeCell ref="A5:B5"/>
    <mergeCell ref="A4:B4"/>
    <mergeCell ref="AG3:AG4"/>
    <mergeCell ref="AH3:A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70">
      <selection activeCell="M19" sqref="M19"/>
    </sheetView>
  </sheetViews>
  <sheetFormatPr defaultColWidth="9.140625" defaultRowHeight="15"/>
  <cols>
    <col min="1" max="1" width="36.00390625" style="113" customWidth="1"/>
    <col min="2" max="2" width="12.28125" style="113" customWidth="1"/>
    <col min="3" max="3" width="34.8515625" style="113" customWidth="1"/>
    <col min="4" max="4" width="16.140625" style="222" customWidth="1"/>
    <col min="5" max="5" width="18.7109375" style="113" customWidth="1"/>
    <col min="6" max="6" width="17.140625" style="113" customWidth="1"/>
    <col min="7" max="7" width="0" style="56" hidden="1" customWidth="1"/>
    <col min="8" max="8" width="13.00390625" style="56" hidden="1" customWidth="1"/>
    <col min="9" max="16" width="9.140625" style="56" customWidth="1"/>
    <col min="17" max="16384" width="9.140625" style="56" customWidth="1"/>
  </cols>
  <sheetData>
    <row r="1" spans="1:11" ht="42" customHeight="1">
      <c r="A1" s="250" t="s">
        <v>252</v>
      </c>
      <c r="B1" s="250"/>
      <c r="C1" s="250"/>
      <c r="D1" s="250"/>
      <c r="E1" s="250"/>
      <c r="F1" s="250"/>
      <c r="J1" s="201"/>
      <c r="K1" s="201"/>
    </row>
    <row r="2" spans="1:11" ht="27.75" customHeight="1">
      <c r="A2" s="219" t="s">
        <v>305</v>
      </c>
      <c r="B2" s="219"/>
      <c r="C2" s="219"/>
      <c r="D2" s="220"/>
      <c r="E2" s="219"/>
      <c r="F2" s="219"/>
      <c r="J2" s="201"/>
      <c r="K2" s="201"/>
    </row>
    <row r="3" spans="1:11" ht="33" customHeight="1">
      <c r="A3" s="251" t="s">
        <v>0</v>
      </c>
      <c r="B3" s="255"/>
      <c r="C3" s="252"/>
      <c r="D3" s="253" t="s">
        <v>94</v>
      </c>
      <c r="E3" s="253" t="s">
        <v>95</v>
      </c>
      <c r="F3" s="253" t="s">
        <v>1</v>
      </c>
      <c r="G3" s="57" t="s">
        <v>303</v>
      </c>
      <c r="J3" s="201"/>
      <c r="K3" s="201"/>
    </row>
    <row r="4" spans="1:11" ht="17.25">
      <c r="A4" s="251" t="s">
        <v>306</v>
      </c>
      <c r="B4" s="252"/>
      <c r="C4" s="221" t="s">
        <v>2</v>
      </c>
      <c r="D4" s="254"/>
      <c r="E4" s="254"/>
      <c r="F4" s="254"/>
      <c r="G4" s="57"/>
      <c r="J4" s="201"/>
      <c r="K4" s="201"/>
    </row>
    <row r="5" spans="1:11" ht="17.25">
      <c r="A5" s="251">
        <v>1</v>
      </c>
      <c r="B5" s="252"/>
      <c r="C5" s="221">
        <v>2</v>
      </c>
      <c r="D5" s="221">
        <v>3</v>
      </c>
      <c r="E5" s="221">
        <v>4</v>
      </c>
      <c r="F5" s="221">
        <v>5</v>
      </c>
      <c r="G5" s="57"/>
      <c r="J5" s="201"/>
      <c r="K5" s="201"/>
    </row>
    <row r="6" spans="1:11" ht="17.25">
      <c r="A6" s="207" t="s">
        <v>112</v>
      </c>
      <c r="B6" s="207" t="s">
        <v>30</v>
      </c>
      <c r="C6" s="211" t="s">
        <v>160</v>
      </c>
      <c r="D6" s="216">
        <v>2</v>
      </c>
      <c r="E6" s="209" t="s">
        <v>339</v>
      </c>
      <c r="F6" s="204">
        <f>H6/D6</f>
        <v>1800</v>
      </c>
      <c r="G6" s="217">
        <v>3600</v>
      </c>
      <c r="H6" s="217">
        <v>3600</v>
      </c>
      <c r="J6" s="201"/>
      <c r="K6" s="201"/>
    </row>
    <row r="7" spans="1:11" ht="17.25">
      <c r="A7" s="207" t="s">
        <v>112</v>
      </c>
      <c r="B7" s="207" t="s">
        <v>30</v>
      </c>
      <c r="C7" s="211" t="s">
        <v>160</v>
      </c>
      <c r="D7" s="216">
        <v>5</v>
      </c>
      <c r="E7" s="209" t="s">
        <v>318</v>
      </c>
      <c r="F7" s="204">
        <f aca="true" t="shared" si="0" ref="F7:F70">H7/D7</f>
        <v>1530</v>
      </c>
      <c r="G7" s="218">
        <v>7650</v>
      </c>
      <c r="H7" s="217">
        <v>7650</v>
      </c>
      <c r="J7" s="201"/>
      <c r="K7" s="201"/>
    </row>
    <row r="8" spans="1:11" ht="17.25">
      <c r="A8" s="207" t="s">
        <v>112</v>
      </c>
      <c r="B8" s="207" t="s">
        <v>6</v>
      </c>
      <c r="C8" s="212" t="s">
        <v>158</v>
      </c>
      <c r="D8" s="216">
        <v>5</v>
      </c>
      <c r="E8" s="209" t="s">
        <v>318</v>
      </c>
      <c r="F8" s="204">
        <f t="shared" si="0"/>
        <v>1451.4</v>
      </c>
      <c r="G8" s="218">
        <v>7257</v>
      </c>
      <c r="H8" s="217">
        <v>7257</v>
      </c>
      <c r="J8" s="201"/>
      <c r="K8" s="201"/>
    </row>
    <row r="9" spans="1:11" s="57" customFormat="1" ht="17.25" customHeight="1">
      <c r="A9" s="207" t="s">
        <v>112</v>
      </c>
      <c r="B9" s="207" t="s">
        <v>6</v>
      </c>
      <c r="C9" s="211" t="s">
        <v>182</v>
      </c>
      <c r="D9" s="216">
        <v>3</v>
      </c>
      <c r="E9" s="209" t="s">
        <v>318</v>
      </c>
      <c r="F9" s="204">
        <f t="shared" si="0"/>
        <v>1406</v>
      </c>
      <c r="G9" s="218">
        <v>4218</v>
      </c>
      <c r="H9" s="217">
        <v>4218</v>
      </c>
      <c r="J9" s="202"/>
      <c r="K9" s="202"/>
    </row>
    <row r="10" spans="1:11" s="57" customFormat="1" ht="17.25" customHeight="1">
      <c r="A10" s="207" t="s">
        <v>112</v>
      </c>
      <c r="B10" s="207" t="s">
        <v>5</v>
      </c>
      <c r="C10" s="211" t="s">
        <v>155</v>
      </c>
      <c r="D10" s="216">
        <v>2.5</v>
      </c>
      <c r="E10" s="207" t="s">
        <v>320</v>
      </c>
      <c r="F10" s="204">
        <f t="shared" si="0"/>
        <v>1190.4</v>
      </c>
      <c r="G10" s="218">
        <v>2976</v>
      </c>
      <c r="H10" s="217">
        <v>2976</v>
      </c>
      <c r="J10" s="202"/>
      <c r="K10" s="202"/>
    </row>
    <row r="11" spans="1:11" s="57" customFormat="1" ht="17.25">
      <c r="A11" s="207" t="s">
        <v>112</v>
      </c>
      <c r="B11" s="207" t="s">
        <v>5</v>
      </c>
      <c r="C11" s="211" t="s">
        <v>158</v>
      </c>
      <c r="D11" s="216">
        <v>4</v>
      </c>
      <c r="E11" s="209" t="s">
        <v>320</v>
      </c>
      <c r="F11" s="204">
        <f t="shared" si="0"/>
        <v>1165.5</v>
      </c>
      <c r="G11" s="218">
        <v>4662</v>
      </c>
      <c r="H11" s="217">
        <v>4662</v>
      </c>
      <c r="J11" s="202"/>
      <c r="K11" s="202"/>
    </row>
    <row r="12" spans="1:11" ht="17.25">
      <c r="A12" s="211" t="s">
        <v>112</v>
      </c>
      <c r="B12" s="207" t="s">
        <v>5</v>
      </c>
      <c r="C12" s="211" t="s">
        <v>160</v>
      </c>
      <c r="D12" s="216">
        <v>3</v>
      </c>
      <c r="E12" s="209" t="s">
        <v>318</v>
      </c>
      <c r="F12" s="204">
        <f t="shared" si="0"/>
        <v>1294.6666666666667</v>
      </c>
      <c r="G12" s="218">
        <v>3884</v>
      </c>
      <c r="H12" s="217">
        <v>3884</v>
      </c>
      <c r="J12" s="201"/>
      <c r="K12" s="201"/>
    </row>
    <row r="13" spans="1:11" ht="17.25">
      <c r="A13" s="207" t="s">
        <v>70</v>
      </c>
      <c r="B13" s="207" t="s">
        <v>4</v>
      </c>
      <c r="C13" s="211" t="s">
        <v>158</v>
      </c>
      <c r="D13" s="216">
        <v>3</v>
      </c>
      <c r="E13" s="209" t="s">
        <v>320</v>
      </c>
      <c r="F13" s="204">
        <f t="shared" si="0"/>
        <v>1065</v>
      </c>
      <c r="G13" s="218">
        <v>3195</v>
      </c>
      <c r="H13" s="217">
        <v>3195</v>
      </c>
      <c r="J13" s="201"/>
      <c r="K13" s="201"/>
    </row>
    <row r="14" spans="1:11" ht="17.25">
      <c r="A14" s="207" t="s">
        <v>70</v>
      </c>
      <c r="B14" s="207" t="s">
        <v>6</v>
      </c>
      <c r="C14" s="211" t="s">
        <v>147</v>
      </c>
      <c r="D14" s="216">
        <v>1</v>
      </c>
      <c r="E14" s="207" t="s">
        <v>309</v>
      </c>
      <c r="F14" s="204">
        <f t="shared" si="0"/>
        <v>788</v>
      </c>
      <c r="G14" s="218">
        <v>788</v>
      </c>
      <c r="H14" s="217">
        <v>788</v>
      </c>
      <c r="J14" s="201"/>
      <c r="K14" s="201"/>
    </row>
    <row r="15" spans="1:11" ht="17.25">
      <c r="A15" s="207" t="s">
        <v>70</v>
      </c>
      <c r="B15" s="207" t="s">
        <v>6</v>
      </c>
      <c r="C15" s="211" t="s">
        <v>78</v>
      </c>
      <c r="D15" s="216">
        <v>4</v>
      </c>
      <c r="E15" s="207" t="s">
        <v>307</v>
      </c>
      <c r="F15" s="204">
        <f t="shared" si="0"/>
        <v>939.75</v>
      </c>
      <c r="G15" s="218">
        <v>3759</v>
      </c>
      <c r="H15" s="217">
        <v>3759</v>
      </c>
      <c r="J15" s="201"/>
      <c r="K15" s="201"/>
    </row>
    <row r="16" spans="1:11" ht="17.25">
      <c r="A16" s="207" t="s">
        <v>70</v>
      </c>
      <c r="B16" s="207" t="s">
        <v>30</v>
      </c>
      <c r="C16" s="211" t="s">
        <v>147</v>
      </c>
      <c r="D16" s="216">
        <v>7</v>
      </c>
      <c r="E16" s="207" t="s">
        <v>315</v>
      </c>
      <c r="F16" s="204">
        <f t="shared" si="0"/>
        <v>629.8785714285714</v>
      </c>
      <c r="G16" s="218">
        <v>4409.15</v>
      </c>
      <c r="H16" s="217">
        <v>4409.15</v>
      </c>
      <c r="J16" s="201"/>
      <c r="K16" s="201"/>
    </row>
    <row r="17" spans="1:11" ht="34.5" customHeight="1">
      <c r="A17" s="207" t="s">
        <v>70</v>
      </c>
      <c r="B17" s="207" t="s">
        <v>30</v>
      </c>
      <c r="C17" s="211" t="s">
        <v>170</v>
      </c>
      <c r="D17" s="216">
        <v>2</v>
      </c>
      <c r="E17" s="207" t="s">
        <v>315</v>
      </c>
      <c r="F17" s="204">
        <f t="shared" si="0"/>
        <v>671.5</v>
      </c>
      <c r="G17" s="218">
        <v>1343</v>
      </c>
      <c r="H17" s="217">
        <v>1343</v>
      </c>
      <c r="J17" s="201"/>
      <c r="K17" s="201"/>
    </row>
    <row r="18" spans="1:11" ht="17.25">
      <c r="A18" s="207" t="s">
        <v>70</v>
      </c>
      <c r="B18" s="207" t="s">
        <v>30</v>
      </c>
      <c r="C18" s="211" t="s">
        <v>77</v>
      </c>
      <c r="D18" s="216">
        <v>2</v>
      </c>
      <c r="E18" s="207" t="s">
        <v>309</v>
      </c>
      <c r="F18" s="204">
        <f t="shared" si="0"/>
        <v>589</v>
      </c>
      <c r="G18" s="218">
        <v>1178</v>
      </c>
      <c r="H18" s="217">
        <v>1178</v>
      </c>
      <c r="J18" s="201"/>
      <c r="K18" s="201"/>
    </row>
    <row r="19" spans="1:8" s="213" customFormat="1" ht="17.25">
      <c r="A19" s="207" t="s">
        <v>70</v>
      </c>
      <c r="B19" s="207" t="s">
        <v>6</v>
      </c>
      <c r="C19" s="211" t="s">
        <v>77</v>
      </c>
      <c r="D19" s="216">
        <v>0</v>
      </c>
      <c r="E19" s="207" t="s">
        <v>309</v>
      </c>
      <c r="F19" s="204">
        <v>0</v>
      </c>
      <c r="G19" s="218">
        <v>0</v>
      </c>
      <c r="H19" s="217">
        <v>0</v>
      </c>
    </row>
    <row r="20" spans="1:11" ht="17.25">
      <c r="A20" s="207" t="s">
        <v>70</v>
      </c>
      <c r="B20" s="207" t="s">
        <v>30</v>
      </c>
      <c r="C20" s="211" t="s">
        <v>194</v>
      </c>
      <c r="D20" s="216">
        <v>1</v>
      </c>
      <c r="E20" s="207" t="s">
        <v>315</v>
      </c>
      <c r="F20" s="204">
        <f t="shared" si="0"/>
        <v>700</v>
      </c>
      <c r="G20" s="56">
        <v>700</v>
      </c>
      <c r="H20" s="217">
        <v>700</v>
      </c>
      <c r="J20" s="201"/>
      <c r="K20" s="201"/>
    </row>
    <row r="21" spans="1:11" ht="17.25">
      <c r="A21" s="207" t="s">
        <v>31</v>
      </c>
      <c r="B21" s="207" t="s">
        <v>6</v>
      </c>
      <c r="C21" s="211" t="s">
        <v>167</v>
      </c>
      <c r="D21" s="216">
        <v>7</v>
      </c>
      <c r="E21" s="207" t="s">
        <v>315</v>
      </c>
      <c r="F21" s="204">
        <f t="shared" si="0"/>
        <v>476</v>
      </c>
      <c r="G21" s="56">
        <v>3332</v>
      </c>
      <c r="H21" s="217">
        <v>3332</v>
      </c>
      <c r="J21" s="201"/>
      <c r="K21" s="201"/>
    </row>
    <row r="22" spans="1:11" ht="17.25">
      <c r="A22" s="207" t="s">
        <v>31</v>
      </c>
      <c r="B22" s="207" t="s">
        <v>32</v>
      </c>
      <c r="C22" s="211" t="s">
        <v>43</v>
      </c>
      <c r="D22" s="216">
        <v>0</v>
      </c>
      <c r="E22" s="207" t="s">
        <v>313</v>
      </c>
      <c r="F22" s="204">
        <v>0</v>
      </c>
      <c r="G22" s="56">
        <v>0</v>
      </c>
      <c r="H22" s="217">
        <v>0</v>
      </c>
      <c r="J22" s="201"/>
      <c r="K22" s="201"/>
    </row>
    <row r="23" spans="1:11" ht="33">
      <c r="A23" s="207" t="s">
        <v>162</v>
      </c>
      <c r="B23" s="207" t="s">
        <v>10</v>
      </c>
      <c r="C23" s="211" t="s">
        <v>174</v>
      </c>
      <c r="D23" s="216">
        <v>1</v>
      </c>
      <c r="E23" s="209" t="s">
        <v>307</v>
      </c>
      <c r="F23" s="204">
        <f t="shared" si="0"/>
        <v>1068</v>
      </c>
      <c r="G23" s="56">
        <v>1068</v>
      </c>
      <c r="H23" s="217">
        <v>1068</v>
      </c>
      <c r="J23" s="201"/>
      <c r="K23" s="201"/>
    </row>
    <row r="24" spans="1:11" ht="17.25">
      <c r="A24" s="207" t="s">
        <v>3</v>
      </c>
      <c r="B24" s="207" t="s">
        <v>198</v>
      </c>
      <c r="C24" s="211" t="s">
        <v>201</v>
      </c>
      <c r="D24" s="216">
        <v>1.5</v>
      </c>
      <c r="E24" s="207" t="s">
        <v>307</v>
      </c>
      <c r="F24" s="204">
        <f t="shared" si="0"/>
        <v>888.6666666666666</v>
      </c>
      <c r="G24" s="56">
        <v>1333</v>
      </c>
      <c r="H24" s="217">
        <v>1333</v>
      </c>
      <c r="J24" s="201"/>
      <c r="K24" s="201"/>
    </row>
    <row r="25" spans="1:11" ht="33">
      <c r="A25" s="207" t="s">
        <v>3</v>
      </c>
      <c r="B25" s="207" t="s">
        <v>48</v>
      </c>
      <c r="C25" s="211" t="s">
        <v>169</v>
      </c>
      <c r="D25" s="216">
        <v>4</v>
      </c>
      <c r="E25" s="207" t="s">
        <v>309</v>
      </c>
      <c r="F25" s="204">
        <f t="shared" si="0"/>
        <v>720.75</v>
      </c>
      <c r="G25" s="56">
        <v>2883</v>
      </c>
      <c r="H25" s="217">
        <v>2883</v>
      </c>
      <c r="J25" s="201"/>
      <c r="K25" s="201"/>
    </row>
    <row r="26" spans="1:11" ht="17.25">
      <c r="A26" s="207" t="s">
        <v>3</v>
      </c>
      <c r="B26" s="209" t="s">
        <v>48</v>
      </c>
      <c r="C26" s="212" t="s">
        <v>172</v>
      </c>
      <c r="D26" s="216">
        <v>2</v>
      </c>
      <c r="E26" s="209" t="s">
        <v>315</v>
      </c>
      <c r="F26" s="204">
        <f t="shared" si="0"/>
        <v>682</v>
      </c>
      <c r="G26" s="56">
        <v>1364</v>
      </c>
      <c r="H26" s="217">
        <v>1364</v>
      </c>
      <c r="J26" s="201"/>
      <c r="K26" s="201"/>
    </row>
    <row r="27" spans="1:11" ht="17.25">
      <c r="A27" s="207" t="s">
        <v>3</v>
      </c>
      <c r="B27" s="207" t="s">
        <v>64</v>
      </c>
      <c r="C27" s="211" t="s">
        <v>321</v>
      </c>
      <c r="D27" s="216">
        <v>1</v>
      </c>
      <c r="E27" s="207" t="s">
        <v>315</v>
      </c>
      <c r="F27" s="204">
        <f t="shared" si="0"/>
        <v>680</v>
      </c>
      <c r="G27" s="56">
        <v>680</v>
      </c>
      <c r="H27" s="217">
        <v>680</v>
      </c>
      <c r="J27" s="201"/>
      <c r="K27" s="201"/>
    </row>
    <row r="28" spans="1:11" ht="17.25">
      <c r="A28" s="207" t="s">
        <v>3</v>
      </c>
      <c r="B28" s="207" t="s">
        <v>64</v>
      </c>
      <c r="C28" s="211" t="s">
        <v>186</v>
      </c>
      <c r="D28" s="216">
        <v>2.5</v>
      </c>
      <c r="E28" s="207" t="s">
        <v>314</v>
      </c>
      <c r="F28" s="204">
        <f t="shared" si="0"/>
        <v>482.8</v>
      </c>
      <c r="G28" s="56">
        <v>1207</v>
      </c>
      <c r="H28" s="217">
        <v>1207</v>
      </c>
      <c r="J28" s="201"/>
      <c r="K28" s="201"/>
    </row>
    <row r="29" spans="1:11" ht="17.25">
      <c r="A29" s="207" t="s">
        <v>3</v>
      </c>
      <c r="B29" s="207" t="s">
        <v>64</v>
      </c>
      <c r="C29" s="211" t="s">
        <v>203</v>
      </c>
      <c r="D29" s="216">
        <v>0</v>
      </c>
      <c r="E29" s="207" t="s">
        <v>315</v>
      </c>
      <c r="F29" s="204">
        <v>0</v>
      </c>
      <c r="G29" s="56">
        <v>0</v>
      </c>
      <c r="H29" s="217">
        <v>0</v>
      </c>
      <c r="J29" s="201"/>
      <c r="K29" s="201"/>
    </row>
    <row r="30" spans="1:11" ht="17.25">
      <c r="A30" s="207" t="s">
        <v>3</v>
      </c>
      <c r="B30" s="207" t="s">
        <v>48</v>
      </c>
      <c r="C30" s="211" t="s">
        <v>203</v>
      </c>
      <c r="D30" s="216">
        <v>6</v>
      </c>
      <c r="E30" s="209" t="s">
        <v>309</v>
      </c>
      <c r="F30" s="204">
        <f t="shared" si="0"/>
        <v>779.8333333333334</v>
      </c>
      <c r="G30" s="56">
        <v>4679</v>
      </c>
      <c r="H30" s="217">
        <v>4679</v>
      </c>
      <c r="J30" s="201"/>
      <c r="K30" s="201"/>
    </row>
    <row r="31" spans="1:11" ht="17.25">
      <c r="A31" s="207" t="s">
        <v>3</v>
      </c>
      <c r="B31" s="207" t="s">
        <v>10</v>
      </c>
      <c r="C31" s="211" t="s">
        <v>325</v>
      </c>
      <c r="D31" s="216">
        <v>2</v>
      </c>
      <c r="E31" s="209" t="s">
        <v>307</v>
      </c>
      <c r="F31" s="204">
        <f t="shared" si="0"/>
        <v>1050</v>
      </c>
      <c r="G31" s="56">
        <v>2100</v>
      </c>
      <c r="H31" s="217">
        <v>2100</v>
      </c>
      <c r="J31" s="201"/>
      <c r="K31" s="201"/>
    </row>
    <row r="32" spans="1:11" ht="17.25">
      <c r="A32" s="207" t="s">
        <v>3</v>
      </c>
      <c r="B32" s="207" t="s">
        <v>4</v>
      </c>
      <c r="C32" s="211" t="s">
        <v>181</v>
      </c>
      <c r="D32" s="216">
        <v>4</v>
      </c>
      <c r="E32" s="207" t="s">
        <v>314</v>
      </c>
      <c r="F32" s="204">
        <f t="shared" si="0"/>
        <v>550</v>
      </c>
      <c r="G32" s="56">
        <v>2200</v>
      </c>
      <c r="H32" s="217">
        <v>2200</v>
      </c>
      <c r="J32" s="201"/>
      <c r="K32" s="201"/>
    </row>
    <row r="33" spans="1:11" ht="17.25">
      <c r="A33" s="207" t="s">
        <v>3</v>
      </c>
      <c r="B33" s="207" t="s">
        <v>4</v>
      </c>
      <c r="C33" s="211" t="s">
        <v>194</v>
      </c>
      <c r="D33" s="216">
        <v>1</v>
      </c>
      <c r="E33" s="207" t="s">
        <v>314</v>
      </c>
      <c r="F33" s="204">
        <f t="shared" si="0"/>
        <v>450</v>
      </c>
      <c r="G33" s="56">
        <v>450</v>
      </c>
      <c r="H33" s="217">
        <v>450</v>
      </c>
      <c r="J33" s="201"/>
      <c r="K33" s="201"/>
    </row>
    <row r="34" spans="1:11" ht="17.25">
      <c r="A34" s="207" t="s">
        <v>3</v>
      </c>
      <c r="B34" s="207" t="s">
        <v>4</v>
      </c>
      <c r="C34" s="211" t="s">
        <v>79</v>
      </c>
      <c r="D34" s="216">
        <v>1</v>
      </c>
      <c r="E34" s="207" t="s">
        <v>316</v>
      </c>
      <c r="F34" s="204">
        <f t="shared" si="0"/>
        <v>470</v>
      </c>
      <c r="G34" s="56">
        <v>470</v>
      </c>
      <c r="H34" s="217">
        <v>470</v>
      </c>
      <c r="J34" s="201"/>
      <c r="K34" s="201"/>
    </row>
    <row r="35" spans="1:11" ht="17.25">
      <c r="A35" s="207" t="s">
        <v>3</v>
      </c>
      <c r="B35" s="207" t="s">
        <v>30</v>
      </c>
      <c r="C35" s="210" t="s">
        <v>42</v>
      </c>
      <c r="D35" s="216">
        <v>26.5</v>
      </c>
      <c r="E35" s="207" t="s">
        <v>313</v>
      </c>
      <c r="F35" s="204">
        <f t="shared" si="0"/>
        <v>430</v>
      </c>
      <c r="G35" s="56">
        <v>11395</v>
      </c>
      <c r="H35" s="217">
        <v>11395</v>
      </c>
      <c r="J35" s="201"/>
      <c r="K35" s="201"/>
    </row>
    <row r="36" spans="1:11" ht="17.25">
      <c r="A36" s="207" t="s">
        <v>3</v>
      </c>
      <c r="B36" s="207" t="s">
        <v>30</v>
      </c>
      <c r="C36" s="210" t="s">
        <v>53</v>
      </c>
      <c r="D36" s="216">
        <v>6.5</v>
      </c>
      <c r="E36" s="209" t="s">
        <v>313</v>
      </c>
      <c r="F36" s="204">
        <f t="shared" si="0"/>
        <v>430</v>
      </c>
      <c r="G36" s="56">
        <v>2795</v>
      </c>
      <c r="H36" s="217">
        <v>2795</v>
      </c>
      <c r="J36" s="201"/>
      <c r="K36" s="201"/>
    </row>
    <row r="37" spans="1:11" ht="17.25">
      <c r="A37" s="206" t="s">
        <v>3</v>
      </c>
      <c r="B37" s="207" t="s">
        <v>5</v>
      </c>
      <c r="C37" s="208" t="s">
        <v>13</v>
      </c>
      <c r="D37" s="216">
        <v>12.5</v>
      </c>
      <c r="E37" s="207" t="s">
        <v>313</v>
      </c>
      <c r="F37" s="204">
        <f t="shared" si="0"/>
        <v>433.2</v>
      </c>
      <c r="G37" s="56">
        <v>5415</v>
      </c>
      <c r="H37" s="217">
        <v>5415</v>
      </c>
      <c r="J37" s="201"/>
      <c r="K37" s="201"/>
    </row>
    <row r="38" spans="1:11" ht="17.25">
      <c r="A38" s="206" t="s">
        <v>3</v>
      </c>
      <c r="B38" s="207" t="s">
        <v>6</v>
      </c>
      <c r="C38" s="208" t="s">
        <v>13</v>
      </c>
      <c r="D38" s="216">
        <v>23</v>
      </c>
      <c r="E38" s="207" t="s">
        <v>313</v>
      </c>
      <c r="F38" s="204">
        <f t="shared" si="0"/>
        <v>441.30434782608694</v>
      </c>
      <c r="G38" s="56">
        <v>10150</v>
      </c>
      <c r="H38" s="217">
        <v>10150</v>
      </c>
      <c r="J38" s="201"/>
      <c r="K38" s="201"/>
    </row>
    <row r="39" spans="1:11" ht="17.25">
      <c r="A39" s="207" t="s">
        <v>3</v>
      </c>
      <c r="B39" s="207" t="s">
        <v>5</v>
      </c>
      <c r="C39" s="211" t="s">
        <v>204</v>
      </c>
      <c r="D39" s="216">
        <v>1.5</v>
      </c>
      <c r="E39" s="207" t="s">
        <v>313</v>
      </c>
      <c r="F39" s="204">
        <f t="shared" si="0"/>
        <v>430</v>
      </c>
      <c r="G39" s="56">
        <v>645</v>
      </c>
      <c r="H39" s="217">
        <v>645</v>
      </c>
      <c r="J39" s="201"/>
      <c r="K39" s="201"/>
    </row>
    <row r="40" spans="1:8" s="213" customFormat="1" ht="17.25">
      <c r="A40" s="207" t="s">
        <v>3</v>
      </c>
      <c r="B40" s="207" t="s">
        <v>4</v>
      </c>
      <c r="C40" s="211" t="s">
        <v>58</v>
      </c>
      <c r="D40" s="216">
        <v>8</v>
      </c>
      <c r="E40" s="207" t="s">
        <v>316</v>
      </c>
      <c r="F40" s="204">
        <f t="shared" si="0"/>
        <v>476.75</v>
      </c>
      <c r="G40" s="213">
        <v>3814</v>
      </c>
      <c r="H40" s="217">
        <v>3814</v>
      </c>
    </row>
    <row r="41" spans="1:11" ht="17.25">
      <c r="A41" s="207" t="s">
        <v>161</v>
      </c>
      <c r="B41" s="207" t="s">
        <v>64</v>
      </c>
      <c r="C41" s="211" t="s">
        <v>51</v>
      </c>
      <c r="D41" s="216">
        <v>1</v>
      </c>
      <c r="E41" s="207" t="s">
        <v>315</v>
      </c>
      <c r="F41" s="204">
        <f t="shared" si="0"/>
        <v>700</v>
      </c>
      <c r="G41" s="56">
        <v>700</v>
      </c>
      <c r="H41" s="215">
        <v>700</v>
      </c>
      <c r="J41" s="201"/>
      <c r="K41" s="201"/>
    </row>
    <row r="42" spans="1:11" ht="17.25">
      <c r="A42" s="207" t="s">
        <v>146</v>
      </c>
      <c r="B42" s="207" t="s">
        <v>4</v>
      </c>
      <c r="C42" s="211" t="s">
        <v>147</v>
      </c>
      <c r="D42" s="165">
        <v>1</v>
      </c>
      <c r="E42" s="207" t="s">
        <v>314</v>
      </c>
      <c r="F42" s="204">
        <f t="shared" si="0"/>
        <v>430</v>
      </c>
      <c r="G42" s="56">
        <v>430</v>
      </c>
      <c r="H42" s="217">
        <v>430</v>
      </c>
      <c r="J42" s="201"/>
      <c r="K42" s="201"/>
    </row>
    <row r="43" spans="1:11" ht="17.25">
      <c r="A43" s="207" t="s">
        <v>146</v>
      </c>
      <c r="B43" s="207" t="s">
        <v>30</v>
      </c>
      <c r="C43" s="211" t="s">
        <v>153</v>
      </c>
      <c r="D43" s="216">
        <v>4</v>
      </c>
      <c r="E43" s="207" t="s">
        <v>316</v>
      </c>
      <c r="F43" s="204">
        <f t="shared" si="0"/>
        <v>450</v>
      </c>
      <c r="G43" s="56">
        <v>1800</v>
      </c>
      <c r="H43" s="217">
        <v>1800</v>
      </c>
      <c r="J43" s="201"/>
      <c r="K43" s="201"/>
    </row>
    <row r="44" spans="1:11" ht="17.25">
      <c r="A44" s="207" t="s">
        <v>146</v>
      </c>
      <c r="B44" s="207" t="s">
        <v>5</v>
      </c>
      <c r="C44" s="211" t="s">
        <v>81</v>
      </c>
      <c r="D44" s="216">
        <v>10.5</v>
      </c>
      <c r="E44" s="207" t="s">
        <v>313</v>
      </c>
      <c r="F44" s="204">
        <f t="shared" si="0"/>
        <v>433.8095238095238</v>
      </c>
      <c r="G44" s="56">
        <v>4555</v>
      </c>
      <c r="H44" s="217">
        <v>4555</v>
      </c>
      <c r="J44" s="201"/>
      <c r="K44" s="201"/>
    </row>
    <row r="45" spans="1:11" ht="17.25">
      <c r="A45" s="207" t="s">
        <v>146</v>
      </c>
      <c r="B45" s="207" t="s">
        <v>4</v>
      </c>
      <c r="C45" s="211" t="s">
        <v>322</v>
      </c>
      <c r="D45" s="216">
        <v>0</v>
      </c>
      <c r="E45" s="207" t="s">
        <v>316</v>
      </c>
      <c r="F45" s="204">
        <v>0</v>
      </c>
      <c r="G45" s="56">
        <v>0</v>
      </c>
      <c r="H45" s="217">
        <v>0</v>
      </c>
      <c r="J45" s="201"/>
      <c r="K45" s="201"/>
    </row>
    <row r="46" spans="1:11" ht="17.25">
      <c r="A46" s="207" t="s">
        <v>146</v>
      </c>
      <c r="B46" s="207" t="s">
        <v>30</v>
      </c>
      <c r="C46" s="211" t="s">
        <v>92</v>
      </c>
      <c r="D46" s="216">
        <v>0</v>
      </c>
      <c r="E46" s="207" t="s">
        <v>316</v>
      </c>
      <c r="F46" s="204">
        <v>0</v>
      </c>
      <c r="G46" s="56">
        <v>0</v>
      </c>
      <c r="H46" s="217">
        <v>0</v>
      </c>
      <c r="J46" s="201"/>
      <c r="K46" s="201"/>
    </row>
    <row r="47" spans="1:11" ht="17.25">
      <c r="A47" s="207" t="s">
        <v>146</v>
      </c>
      <c r="B47" s="207" t="s">
        <v>64</v>
      </c>
      <c r="C47" s="211" t="s">
        <v>326</v>
      </c>
      <c r="D47" s="216">
        <v>0</v>
      </c>
      <c r="E47" s="207" t="s">
        <v>315</v>
      </c>
      <c r="F47" s="204">
        <v>0</v>
      </c>
      <c r="G47" s="56">
        <v>0</v>
      </c>
      <c r="H47" s="217">
        <v>0</v>
      </c>
      <c r="J47" s="201"/>
      <c r="K47" s="201"/>
    </row>
    <row r="48" spans="1:11" ht="17.25">
      <c r="A48" s="207" t="s">
        <v>49</v>
      </c>
      <c r="B48" s="207" t="s">
        <v>5</v>
      </c>
      <c r="C48" s="211" t="s">
        <v>152</v>
      </c>
      <c r="D48" s="216">
        <v>9.5</v>
      </c>
      <c r="E48" s="207" t="s">
        <v>315</v>
      </c>
      <c r="F48" s="204">
        <f t="shared" si="0"/>
        <v>677.3157894736842</v>
      </c>
      <c r="G48" s="56">
        <v>6434.5</v>
      </c>
      <c r="H48" s="217">
        <v>6434.5</v>
      </c>
      <c r="J48" s="201"/>
      <c r="K48" s="201"/>
    </row>
    <row r="49" spans="1:11" ht="33">
      <c r="A49" s="207" t="s">
        <v>149</v>
      </c>
      <c r="B49" s="207" t="s">
        <v>4</v>
      </c>
      <c r="C49" s="211" t="s">
        <v>154</v>
      </c>
      <c r="D49" s="216">
        <v>2</v>
      </c>
      <c r="E49" s="207" t="s">
        <v>307</v>
      </c>
      <c r="F49" s="204">
        <f t="shared" si="0"/>
        <v>795</v>
      </c>
      <c r="G49" s="56">
        <v>1590</v>
      </c>
      <c r="H49" s="217">
        <v>1590</v>
      </c>
      <c r="J49" s="201"/>
      <c r="K49" s="201"/>
    </row>
    <row r="50" spans="1:11" ht="33">
      <c r="A50" s="207" t="s">
        <v>149</v>
      </c>
      <c r="B50" s="207" t="s">
        <v>10</v>
      </c>
      <c r="C50" s="211" t="s">
        <v>60</v>
      </c>
      <c r="D50" s="216">
        <v>3</v>
      </c>
      <c r="E50" s="207" t="s">
        <v>309</v>
      </c>
      <c r="F50" s="204">
        <f t="shared" si="0"/>
        <v>782.6666666666666</v>
      </c>
      <c r="G50" s="56">
        <v>2348</v>
      </c>
      <c r="H50" s="217">
        <v>2348</v>
      </c>
      <c r="J50" s="201"/>
      <c r="K50" s="201"/>
    </row>
    <row r="51" spans="1:11" ht="33">
      <c r="A51" s="207" t="s">
        <v>163</v>
      </c>
      <c r="B51" s="207" t="s">
        <v>10</v>
      </c>
      <c r="C51" s="211" t="s">
        <v>175</v>
      </c>
      <c r="D51" s="216">
        <v>3.737</v>
      </c>
      <c r="E51" s="207" t="s">
        <v>307</v>
      </c>
      <c r="F51" s="204">
        <f t="shared" si="0"/>
        <v>906.3419855499063</v>
      </c>
      <c r="G51" s="56">
        <v>3387</v>
      </c>
      <c r="H51" s="217">
        <v>3387</v>
      </c>
      <c r="J51" s="201"/>
      <c r="K51" s="201"/>
    </row>
    <row r="52" spans="1:11" ht="33">
      <c r="A52" s="207" t="s">
        <v>157</v>
      </c>
      <c r="B52" s="207" t="s">
        <v>4</v>
      </c>
      <c r="C52" s="211" t="s">
        <v>158</v>
      </c>
      <c r="D52" s="216">
        <v>1</v>
      </c>
      <c r="E52" s="209" t="s">
        <v>320</v>
      </c>
      <c r="F52" s="204">
        <f t="shared" si="0"/>
        <v>1130</v>
      </c>
      <c r="G52" s="56">
        <v>1130</v>
      </c>
      <c r="H52" s="217">
        <v>1130</v>
      </c>
      <c r="J52" s="201"/>
      <c r="K52" s="201"/>
    </row>
    <row r="53" spans="1:11" ht="33">
      <c r="A53" s="207" t="s">
        <v>157</v>
      </c>
      <c r="B53" s="207" t="s">
        <v>4</v>
      </c>
      <c r="C53" s="211" t="s">
        <v>160</v>
      </c>
      <c r="D53" s="216">
        <v>2</v>
      </c>
      <c r="E53" s="207" t="s">
        <v>307</v>
      </c>
      <c r="F53" s="204">
        <f t="shared" si="0"/>
        <v>1025</v>
      </c>
      <c r="G53" s="56">
        <v>2050</v>
      </c>
      <c r="H53" s="217">
        <v>2050</v>
      </c>
      <c r="J53" s="201"/>
      <c r="K53" s="201"/>
    </row>
    <row r="54" spans="1:11" ht="33">
      <c r="A54" s="207" t="s">
        <v>157</v>
      </c>
      <c r="B54" s="207" t="s">
        <v>10</v>
      </c>
      <c r="C54" s="211" t="s">
        <v>200</v>
      </c>
      <c r="D54" s="216">
        <v>1</v>
      </c>
      <c r="E54" s="207" t="s">
        <v>307</v>
      </c>
      <c r="F54" s="204">
        <f t="shared" si="0"/>
        <v>940</v>
      </c>
      <c r="G54" s="56">
        <v>940</v>
      </c>
      <c r="H54" s="217">
        <v>940</v>
      </c>
      <c r="J54" s="201"/>
      <c r="K54" s="201"/>
    </row>
    <row r="55" spans="1:11" ht="33">
      <c r="A55" s="207" t="s">
        <v>157</v>
      </c>
      <c r="B55" s="207" t="s">
        <v>5</v>
      </c>
      <c r="C55" s="211" t="s">
        <v>165</v>
      </c>
      <c r="D55" s="216">
        <v>1</v>
      </c>
      <c r="E55" s="207" t="s">
        <v>309</v>
      </c>
      <c r="F55" s="204">
        <f t="shared" si="0"/>
        <v>738</v>
      </c>
      <c r="G55" s="56">
        <v>738</v>
      </c>
      <c r="H55" s="217">
        <v>738</v>
      </c>
      <c r="J55" s="201"/>
      <c r="K55" s="201"/>
    </row>
    <row r="56" spans="1:11" ht="33">
      <c r="A56" s="207" t="s">
        <v>157</v>
      </c>
      <c r="B56" s="207" t="s">
        <v>5</v>
      </c>
      <c r="C56" s="211" t="s">
        <v>166</v>
      </c>
      <c r="D56" s="216">
        <v>2</v>
      </c>
      <c r="E56" s="207" t="s">
        <v>315</v>
      </c>
      <c r="F56" s="204">
        <f t="shared" si="0"/>
        <v>703</v>
      </c>
      <c r="G56" s="56">
        <v>1406</v>
      </c>
      <c r="H56" s="217">
        <v>1406</v>
      </c>
      <c r="J56" s="201"/>
      <c r="K56" s="201"/>
    </row>
    <row r="57" spans="1:11" ht="33">
      <c r="A57" s="207" t="s">
        <v>157</v>
      </c>
      <c r="B57" s="207" t="s">
        <v>5</v>
      </c>
      <c r="C57" s="211" t="s">
        <v>168</v>
      </c>
      <c r="D57" s="216">
        <v>0.769</v>
      </c>
      <c r="E57" s="207" t="s">
        <v>309</v>
      </c>
      <c r="F57" s="204">
        <f t="shared" si="0"/>
        <v>845.2795838751625</v>
      </c>
      <c r="G57" s="56">
        <v>650.02</v>
      </c>
      <c r="H57" s="217">
        <v>650.02</v>
      </c>
      <c r="J57" s="201"/>
      <c r="K57" s="201"/>
    </row>
    <row r="58" spans="1:11" ht="33">
      <c r="A58" s="207" t="s">
        <v>157</v>
      </c>
      <c r="B58" s="207" t="s">
        <v>5</v>
      </c>
      <c r="C58" s="211" t="s">
        <v>176</v>
      </c>
      <c r="D58" s="216">
        <v>3</v>
      </c>
      <c r="E58" s="207" t="s">
        <v>315</v>
      </c>
      <c r="F58" s="204">
        <f t="shared" si="0"/>
        <v>703</v>
      </c>
      <c r="G58" s="56">
        <v>2109</v>
      </c>
      <c r="H58" s="217">
        <v>2109</v>
      </c>
      <c r="J58" s="201"/>
      <c r="K58" s="201"/>
    </row>
    <row r="59" spans="1:11" ht="33">
      <c r="A59" s="207" t="s">
        <v>157</v>
      </c>
      <c r="B59" s="207" t="s">
        <v>5</v>
      </c>
      <c r="C59" s="211" t="s">
        <v>179</v>
      </c>
      <c r="D59" s="216">
        <v>1</v>
      </c>
      <c r="E59" s="207" t="s">
        <v>315</v>
      </c>
      <c r="F59" s="204">
        <f t="shared" si="0"/>
        <v>680</v>
      </c>
      <c r="G59" s="56">
        <v>680</v>
      </c>
      <c r="H59" s="217">
        <v>680</v>
      </c>
      <c r="J59" s="201"/>
      <c r="K59" s="201"/>
    </row>
    <row r="60" spans="1:11" ht="33">
      <c r="A60" s="207" t="s">
        <v>157</v>
      </c>
      <c r="B60" s="207" t="s">
        <v>5</v>
      </c>
      <c r="C60" s="211" t="s">
        <v>185</v>
      </c>
      <c r="D60" s="216">
        <v>3</v>
      </c>
      <c r="E60" s="207" t="s">
        <v>315</v>
      </c>
      <c r="F60" s="204">
        <f t="shared" si="0"/>
        <v>702</v>
      </c>
      <c r="G60" s="56">
        <v>2106</v>
      </c>
      <c r="H60" s="217">
        <v>2106</v>
      </c>
      <c r="J60" s="201"/>
      <c r="K60" s="201"/>
    </row>
    <row r="61" spans="1:8" s="213" customFormat="1" ht="49.5">
      <c r="A61" s="207" t="s">
        <v>27</v>
      </c>
      <c r="B61" s="207" t="s">
        <v>30</v>
      </c>
      <c r="C61" s="211" t="s">
        <v>345</v>
      </c>
      <c r="D61" s="216">
        <v>1</v>
      </c>
      <c r="E61" s="207" t="s">
        <v>307</v>
      </c>
      <c r="F61" s="204">
        <f t="shared" si="0"/>
        <v>850</v>
      </c>
      <c r="G61" s="215">
        <v>850</v>
      </c>
      <c r="H61" s="217">
        <v>850</v>
      </c>
    </row>
    <row r="62" spans="1:11" ht="33">
      <c r="A62" s="207" t="s">
        <v>47</v>
      </c>
      <c r="B62" s="207" t="s">
        <v>164</v>
      </c>
      <c r="C62" s="211" t="s">
        <v>177</v>
      </c>
      <c r="D62" s="216">
        <v>2</v>
      </c>
      <c r="E62" s="207" t="s">
        <v>320</v>
      </c>
      <c r="F62" s="204">
        <f t="shared" si="0"/>
        <v>1234.5</v>
      </c>
      <c r="G62" s="56">
        <v>2469</v>
      </c>
      <c r="H62" s="215">
        <v>2469</v>
      </c>
      <c r="J62" s="201"/>
      <c r="K62" s="201"/>
    </row>
    <row r="63" spans="1:11" ht="17.25">
      <c r="A63" s="207" t="s">
        <v>329</v>
      </c>
      <c r="B63" s="207" t="s">
        <v>30</v>
      </c>
      <c r="C63" s="211" t="s">
        <v>121</v>
      </c>
      <c r="D63" s="216">
        <v>2</v>
      </c>
      <c r="E63" s="207" t="s">
        <v>309</v>
      </c>
      <c r="F63" s="204">
        <f t="shared" si="0"/>
        <v>790</v>
      </c>
      <c r="G63" s="56">
        <v>1580</v>
      </c>
      <c r="H63" s="217">
        <v>1580</v>
      </c>
      <c r="J63" s="201"/>
      <c r="K63" s="201"/>
    </row>
    <row r="64" spans="1:11" s="117" customFormat="1" ht="28.5" customHeight="1">
      <c r="A64" s="207" t="s">
        <v>199</v>
      </c>
      <c r="B64" s="207" t="s">
        <v>10</v>
      </c>
      <c r="C64" s="211" t="s">
        <v>202</v>
      </c>
      <c r="D64" s="216">
        <v>2</v>
      </c>
      <c r="E64" s="207" t="s">
        <v>307</v>
      </c>
      <c r="F64" s="204">
        <f t="shared" si="0"/>
        <v>993.5</v>
      </c>
      <c r="G64" s="56">
        <v>1987</v>
      </c>
      <c r="H64" s="217">
        <v>1987</v>
      </c>
      <c r="J64" s="203"/>
      <c r="K64" s="203"/>
    </row>
    <row r="65" spans="1:11" ht="17.25">
      <c r="A65" s="207" t="s">
        <v>66</v>
      </c>
      <c r="B65" s="207" t="s">
        <v>4</v>
      </c>
      <c r="C65" s="211" t="s">
        <v>196</v>
      </c>
      <c r="D65" s="216">
        <v>3.5</v>
      </c>
      <c r="E65" s="207" t="s">
        <v>320</v>
      </c>
      <c r="F65" s="204">
        <f t="shared" si="0"/>
        <v>936.8571428571429</v>
      </c>
      <c r="G65" s="56">
        <v>3279</v>
      </c>
      <c r="H65" s="217">
        <v>3279</v>
      </c>
      <c r="J65" s="201"/>
      <c r="K65" s="201"/>
    </row>
    <row r="66" spans="1:11" ht="17.25">
      <c r="A66" s="207" t="s">
        <v>114</v>
      </c>
      <c r="B66" s="207" t="s">
        <v>30</v>
      </c>
      <c r="C66" s="211" t="s">
        <v>200</v>
      </c>
      <c r="D66" s="216">
        <v>13</v>
      </c>
      <c r="E66" s="207" t="s">
        <v>307</v>
      </c>
      <c r="F66" s="204">
        <f t="shared" si="0"/>
        <v>933.1538461538462</v>
      </c>
      <c r="G66" s="56">
        <v>12131</v>
      </c>
      <c r="H66" s="217">
        <v>12131</v>
      </c>
      <c r="J66" s="201"/>
      <c r="K66" s="201"/>
    </row>
    <row r="67" spans="1:11" ht="17.25">
      <c r="A67" s="207" t="s">
        <v>114</v>
      </c>
      <c r="B67" s="207" t="s">
        <v>5</v>
      </c>
      <c r="C67" s="211" t="s">
        <v>180</v>
      </c>
      <c r="D67" s="216">
        <v>1</v>
      </c>
      <c r="E67" s="207" t="s">
        <v>307</v>
      </c>
      <c r="F67" s="204">
        <f t="shared" si="0"/>
        <v>750</v>
      </c>
      <c r="G67" s="56">
        <v>750</v>
      </c>
      <c r="H67" s="217">
        <v>750</v>
      </c>
      <c r="J67" s="201"/>
      <c r="K67" s="201"/>
    </row>
    <row r="68" spans="1:11" ht="17.25">
      <c r="A68" s="207" t="s">
        <v>29</v>
      </c>
      <c r="B68" s="207" t="s">
        <v>64</v>
      </c>
      <c r="C68" s="211" t="s">
        <v>158</v>
      </c>
      <c r="D68" s="216">
        <v>2</v>
      </c>
      <c r="E68" s="209" t="s">
        <v>320</v>
      </c>
      <c r="F68" s="204">
        <f t="shared" si="0"/>
        <v>1092.5</v>
      </c>
      <c r="G68" s="56">
        <v>2185</v>
      </c>
      <c r="H68" s="217">
        <v>2185</v>
      </c>
      <c r="J68" s="201"/>
      <c r="K68" s="201"/>
    </row>
    <row r="69" spans="1:8" s="213" customFormat="1" ht="17.25">
      <c r="A69" s="207" t="s">
        <v>29</v>
      </c>
      <c r="B69" s="207" t="s">
        <v>4</v>
      </c>
      <c r="C69" s="211" t="s">
        <v>346</v>
      </c>
      <c r="D69" s="216">
        <v>0.421</v>
      </c>
      <c r="E69" s="207" t="s">
        <v>307</v>
      </c>
      <c r="F69" s="204">
        <f t="shared" si="0"/>
        <v>980.9976247030879</v>
      </c>
      <c r="G69" s="215">
        <v>413</v>
      </c>
      <c r="H69" s="217">
        <v>413</v>
      </c>
    </row>
    <row r="70" spans="1:8" s="213" customFormat="1" ht="17.25">
      <c r="A70" s="207" t="s">
        <v>29</v>
      </c>
      <c r="B70" s="207" t="s">
        <v>4</v>
      </c>
      <c r="C70" s="211" t="s">
        <v>347</v>
      </c>
      <c r="D70" s="216">
        <v>0.872</v>
      </c>
      <c r="E70" s="207" t="s">
        <v>307</v>
      </c>
      <c r="F70" s="204">
        <f t="shared" si="0"/>
        <v>850.9174311926605</v>
      </c>
      <c r="G70" s="215">
        <v>742</v>
      </c>
      <c r="H70" s="215">
        <v>742</v>
      </c>
    </row>
    <row r="71" spans="1:11" ht="17.25">
      <c r="A71" s="207" t="s">
        <v>29</v>
      </c>
      <c r="B71" s="207" t="s">
        <v>4</v>
      </c>
      <c r="C71" s="211" t="s">
        <v>173</v>
      </c>
      <c r="D71" s="216">
        <v>0</v>
      </c>
      <c r="E71" s="207" t="s">
        <v>307</v>
      </c>
      <c r="F71" s="204">
        <v>0</v>
      </c>
      <c r="G71" s="56">
        <v>0</v>
      </c>
      <c r="H71" s="215">
        <v>0</v>
      </c>
      <c r="J71" s="201"/>
      <c r="K71" s="201"/>
    </row>
    <row r="72" spans="1:11" ht="17.25">
      <c r="A72" s="207" t="s">
        <v>29</v>
      </c>
      <c r="B72" s="207" t="s">
        <v>4</v>
      </c>
      <c r="C72" s="211" t="s">
        <v>182</v>
      </c>
      <c r="D72" s="216">
        <v>25.94100000000002</v>
      </c>
      <c r="E72" s="207" t="s">
        <v>307</v>
      </c>
      <c r="F72" s="204">
        <f aca="true" t="shared" si="1" ref="F72:F96">H72/D72</f>
        <v>855.3640954473607</v>
      </c>
      <c r="G72" s="56">
        <v>22189</v>
      </c>
      <c r="H72" s="217">
        <v>22189</v>
      </c>
      <c r="J72" s="201"/>
      <c r="K72" s="201"/>
    </row>
    <row r="73" spans="1:11" ht="33">
      <c r="A73" s="207" t="s">
        <v>29</v>
      </c>
      <c r="B73" s="207" t="s">
        <v>4</v>
      </c>
      <c r="C73" s="211" t="s">
        <v>191</v>
      </c>
      <c r="D73" s="216">
        <v>8</v>
      </c>
      <c r="E73" s="207" t="s">
        <v>307</v>
      </c>
      <c r="F73" s="204">
        <f t="shared" si="1"/>
        <v>851.625</v>
      </c>
      <c r="G73" s="56">
        <v>6813</v>
      </c>
      <c r="H73" s="217">
        <v>6813</v>
      </c>
      <c r="J73" s="201"/>
      <c r="K73" s="201"/>
    </row>
    <row r="74" spans="1:11" ht="33">
      <c r="A74" s="207" t="s">
        <v>29</v>
      </c>
      <c r="B74" s="207" t="s">
        <v>4</v>
      </c>
      <c r="C74" s="211" t="s">
        <v>192</v>
      </c>
      <c r="D74" s="216">
        <v>1</v>
      </c>
      <c r="E74" s="207" t="s">
        <v>307</v>
      </c>
      <c r="F74" s="204">
        <f t="shared" si="1"/>
        <v>760</v>
      </c>
      <c r="G74" s="56">
        <v>760</v>
      </c>
      <c r="H74" s="217">
        <v>760</v>
      </c>
      <c r="J74" s="201"/>
      <c r="K74" s="201"/>
    </row>
    <row r="75" spans="1:11" ht="33">
      <c r="A75" s="207" t="s">
        <v>29</v>
      </c>
      <c r="B75" s="207" t="s">
        <v>4</v>
      </c>
      <c r="C75" s="211" t="s">
        <v>323</v>
      </c>
      <c r="D75" s="216">
        <v>1</v>
      </c>
      <c r="E75" s="207" t="s">
        <v>307</v>
      </c>
      <c r="F75" s="204">
        <f t="shared" si="1"/>
        <v>882</v>
      </c>
      <c r="G75" s="56">
        <v>882</v>
      </c>
      <c r="H75" s="217">
        <v>882</v>
      </c>
      <c r="J75" s="201"/>
      <c r="K75" s="201"/>
    </row>
    <row r="76" spans="1:11" ht="17.25">
      <c r="A76" s="207" t="s">
        <v>29</v>
      </c>
      <c r="B76" s="207" t="s">
        <v>4</v>
      </c>
      <c r="C76" s="211" t="s">
        <v>195</v>
      </c>
      <c r="D76" s="216">
        <v>12</v>
      </c>
      <c r="E76" s="207" t="s">
        <v>307</v>
      </c>
      <c r="F76" s="204">
        <f t="shared" si="1"/>
        <v>855</v>
      </c>
      <c r="G76" s="56">
        <v>10260</v>
      </c>
      <c r="H76" s="217">
        <v>10260</v>
      </c>
      <c r="J76" s="201"/>
      <c r="K76" s="201"/>
    </row>
    <row r="77" spans="1:11" ht="17.25">
      <c r="A77" s="207" t="s">
        <v>29</v>
      </c>
      <c r="B77" s="207" t="s">
        <v>4</v>
      </c>
      <c r="C77" s="211" t="s">
        <v>324</v>
      </c>
      <c r="D77" s="216">
        <v>0</v>
      </c>
      <c r="E77" s="207" t="s">
        <v>307</v>
      </c>
      <c r="F77" s="204">
        <v>0</v>
      </c>
      <c r="G77" s="56">
        <v>0</v>
      </c>
      <c r="H77" s="217">
        <v>0</v>
      </c>
      <c r="J77" s="201"/>
      <c r="K77" s="201"/>
    </row>
    <row r="78" spans="1:11" ht="17.25">
      <c r="A78" s="207" t="s">
        <v>29</v>
      </c>
      <c r="B78" s="207" t="s">
        <v>4</v>
      </c>
      <c r="C78" s="211" t="s">
        <v>197</v>
      </c>
      <c r="D78" s="216">
        <v>4</v>
      </c>
      <c r="E78" s="207" t="s">
        <v>307</v>
      </c>
      <c r="F78" s="204">
        <f t="shared" si="1"/>
        <v>909.25</v>
      </c>
      <c r="G78" s="56">
        <v>3637</v>
      </c>
      <c r="H78" s="217">
        <v>3637</v>
      </c>
      <c r="J78" s="201"/>
      <c r="K78" s="201"/>
    </row>
    <row r="79" spans="1:11" ht="17.25">
      <c r="A79" s="207" t="s">
        <v>29</v>
      </c>
      <c r="B79" s="207" t="s">
        <v>4</v>
      </c>
      <c r="C79" s="211" t="s">
        <v>200</v>
      </c>
      <c r="D79" s="216">
        <v>7</v>
      </c>
      <c r="E79" s="207" t="s">
        <v>307</v>
      </c>
      <c r="F79" s="204">
        <f t="shared" si="1"/>
        <v>940.2857142857143</v>
      </c>
      <c r="G79" s="56">
        <v>6582</v>
      </c>
      <c r="H79" s="217">
        <v>6582</v>
      </c>
      <c r="J79" s="201"/>
      <c r="K79" s="201"/>
    </row>
    <row r="80" spans="1:11" ht="17.25">
      <c r="A80" s="207" t="s">
        <v>29</v>
      </c>
      <c r="B80" s="207" t="s">
        <v>10</v>
      </c>
      <c r="C80" s="211" t="s">
        <v>147</v>
      </c>
      <c r="D80" s="216">
        <v>2</v>
      </c>
      <c r="E80" s="207" t="s">
        <v>307</v>
      </c>
      <c r="F80" s="204">
        <f t="shared" si="1"/>
        <v>822</v>
      </c>
      <c r="G80" s="56">
        <v>1644</v>
      </c>
      <c r="H80" s="217">
        <v>1644</v>
      </c>
      <c r="J80" s="201"/>
      <c r="K80" s="201"/>
    </row>
    <row r="81" spans="1:11" ht="17.25">
      <c r="A81" s="209" t="s">
        <v>29</v>
      </c>
      <c r="B81" s="209" t="s">
        <v>10</v>
      </c>
      <c r="C81" s="211" t="s">
        <v>171</v>
      </c>
      <c r="D81" s="216">
        <v>1.443</v>
      </c>
      <c r="E81" s="209" t="s">
        <v>307</v>
      </c>
      <c r="F81" s="204">
        <f t="shared" si="1"/>
        <v>799.029799029799</v>
      </c>
      <c r="G81" s="56">
        <v>1153</v>
      </c>
      <c r="H81" s="217">
        <v>1153</v>
      </c>
      <c r="J81" s="201"/>
      <c r="K81" s="201"/>
    </row>
    <row r="82" spans="1:11" ht="17.25">
      <c r="A82" s="209" t="s">
        <v>29</v>
      </c>
      <c r="B82" s="209" t="s">
        <v>10</v>
      </c>
      <c r="C82" s="211" t="s">
        <v>328</v>
      </c>
      <c r="D82" s="216">
        <v>1</v>
      </c>
      <c r="E82" s="209" t="s">
        <v>307</v>
      </c>
      <c r="F82" s="204">
        <f t="shared" si="1"/>
        <v>910</v>
      </c>
      <c r="G82" s="56">
        <v>910</v>
      </c>
      <c r="H82" s="217">
        <v>910</v>
      </c>
      <c r="J82" s="201"/>
      <c r="K82" s="201"/>
    </row>
    <row r="83" spans="1:11" ht="33">
      <c r="A83" s="207" t="s">
        <v>29</v>
      </c>
      <c r="B83" s="207" t="s">
        <v>10</v>
      </c>
      <c r="C83" s="212" t="s">
        <v>183</v>
      </c>
      <c r="D83" s="216">
        <v>11.091</v>
      </c>
      <c r="E83" s="209" t="s">
        <v>307</v>
      </c>
      <c r="F83" s="204">
        <f t="shared" si="1"/>
        <v>768.8215670363359</v>
      </c>
      <c r="G83" s="56">
        <v>8527</v>
      </c>
      <c r="H83" s="217">
        <v>8527</v>
      </c>
      <c r="J83" s="201"/>
      <c r="K83" s="201"/>
    </row>
    <row r="84" spans="1:11" ht="17.25">
      <c r="A84" s="207" t="s">
        <v>29</v>
      </c>
      <c r="B84" s="207" t="s">
        <v>32</v>
      </c>
      <c r="C84" s="211" t="s">
        <v>150</v>
      </c>
      <c r="D84" s="216">
        <v>2.5140000000000002</v>
      </c>
      <c r="E84" s="207" t="s">
        <v>309</v>
      </c>
      <c r="F84" s="204">
        <f t="shared" si="1"/>
        <v>747.8122513922036</v>
      </c>
      <c r="G84" s="56">
        <v>1880</v>
      </c>
      <c r="H84" s="217">
        <v>1880</v>
      </c>
      <c r="J84" s="201"/>
      <c r="K84" s="201"/>
    </row>
    <row r="85" spans="1:11" ht="17.25">
      <c r="A85" s="207" t="s">
        <v>29</v>
      </c>
      <c r="B85" s="207" t="s">
        <v>32</v>
      </c>
      <c r="C85" s="211" t="s">
        <v>151</v>
      </c>
      <c r="D85" s="216">
        <v>9.178999999999998</v>
      </c>
      <c r="E85" s="207" t="s">
        <v>309</v>
      </c>
      <c r="F85" s="204">
        <f t="shared" si="1"/>
        <v>738.2067763372918</v>
      </c>
      <c r="G85" s="56">
        <v>6776</v>
      </c>
      <c r="H85" s="217">
        <v>6776</v>
      </c>
      <c r="J85" s="201"/>
      <c r="K85" s="201"/>
    </row>
    <row r="86" spans="1:11" ht="17.25">
      <c r="A86" s="207" t="s">
        <v>29</v>
      </c>
      <c r="B86" s="207" t="s">
        <v>32</v>
      </c>
      <c r="C86" s="211" t="s">
        <v>156</v>
      </c>
      <c r="D86" s="216">
        <v>3.9339999999999993</v>
      </c>
      <c r="E86" s="205" t="s">
        <v>309</v>
      </c>
      <c r="F86" s="204">
        <f t="shared" si="1"/>
        <v>738.68835790544</v>
      </c>
      <c r="G86" s="56">
        <v>2906</v>
      </c>
      <c r="H86" s="217">
        <v>2906</v>
      </c>
      <c r="J86" s="201"/>
      <c r="K86" s="201"/>
    </row>
    <row r="87" spans="1:11" ht="17.25">
      <c r="A87" s="207" t="s">
        <v>29</v>
      </c>
      <c r="B87" s="207" t="s">
        <v>32</v>
      </c>
      <c r="C87" s="211" t="s">
        <v>171</v>
      </c>
      <c r="D87" s="216">
        <v>3.524</v>
      </c>
      <c r="E87" s="207" t="s">
        <v>309</v>
      </c>
      <c r="F87" s="204">
        <f t="shared" si="1"/>
        <v>739.216799091941</v>
      </c>
      <c r="G87" s="56">
        <v>2605</v>
      </c>
      <c r="H87" s="217">
        <v>2605</v>
      </c>
      <c r="J87" s="201"/>
      <c r="K87" s="201"/>
    </row>
    <row r="88" spans="1:11" ht="17.25">
      <c r="A88" s="207" t="s">
        <v>29</v>
      </c>
      <c r="B88" s="207" t="s">
        <v>32</v>
      </c>
      <c r="C88" s="211" t="s">
        <v>178</v>
      </c>
      <c r="D88" s="216">
        <v>6.0699999999999985</v>
      </c>
      <c r="E88" s="207" t="s">
        <v>309</v>
      </c>
      <c r="F88" s="204">
        <f t="shared" si="1"/>
        <v>724.3822075782539</v>
      </c>
      <c r="G88" s="56">
        <v>4397</v>
      </c>
      <c r="H88" s="217">
        <v>4397</v>
      </c>
      <c r="J88" s="201"/>
      <c r="K88" s="201"/>
    </row>
    <row r="89" spans="1:11" ht="33">
      <c r="A89" s="207" t="s">
        <v>29</v>
      </c>
      <c r="B89" s="207" t="s">
        <v>32</v>
      </c>
      <c r="C89" s="211" t="s">
        <v>184</v>
      </c>
      <c r="D89" s="216">
        <v>0.385</v>
      </c>
      <c r="E89" s="207" t="s">
        <v>309</v>
      </c>
      <c r="F89" s="204">
        <f t="shared" si="1"/>
        <v>740.2597402597403</v>
      </c>
      <c r="G89" s="56">
        <v>285</v>
      </c>
      <c r="H89" s="217">
        <v>285</v>
      </c>
      <c r="J89" s="201"/>
      <c r="K89" s="201"/>
    </row>
    <row r="90" spans="1:11" ht="17.25">
      <c r="A90" s="207" t="s">
        <v>29</v>
      </c>
      <c r="B90" s="207" t="s">
        <v>187</v>
      </c>
      <c r="C90" s="211" t="s">
        <v>188</v>
      </c>
      <c r="D90" s="216">
        <v>23</v>
      </c>
      <c r="E90" s="207" t="s">
        <v>309</v>
      </c>
      <c r="F90" s="204">
        <f t="shared" si="1"/>
        <v>684</v>
      </c>
      <c r="G90" s="56">
        <v>15732</v>
      </c>
      <c r="H90" s="217">
        <v>15732</v>
      </c>
      <c r="J90" s="201"/>
      <c r="K90" s="201"/>
    </row>
    <row r="91" spans="1:11" ht="17.25">
      <c r="A91" s="207" t="s">
        <v>29</v>
      </c>
      <c r="B91" s="207" t="s">
        <v>187</v>
      </c>
      <c r="C91" s="211" t="s">
        <v>189</v>
      </c>
      <c r="D91" s="216">
        <v>0</v>
      </c>
      <c r="E91" s="207" t="s">
        <v>309</v>
      </c>
      <c r="F91" s="204">
        <v>0</v>
      </c>
      <c r="G91" s="56">
        <v>0</v>
      </c>
      <c r="H91" s="217">
        <v>0</v>
      </c>
      <c r="J91" s="201"/>
      <c r="K91" s="201"/>
    </row>
    <row r="92" spans="1:11" ht="17.25">
      <c r="A92" s="207" t="s">
        <v>29</v>
      </c>
      <c r="B92" s="207" t="s">
        <v>187</v>
      </c>
      <c r="C92" s="211" t="s">
        <v>190</v>
      </c>
      <c r="D92" s="216">
        <v>2</v>
      </c>
      <c r="E92" s="207" t="s">
        <v>309</v>
      </c>
      <c r="F92" s="204">
        <f t="shared" si="1"/>
        <v>658</v>
      </c>
      <c r="G92" s="56">
        <v>1316</v>
      </c>
      <c r="H92" s="217">
        <v>1316</v>
      </c>
      <c r="J92" s="201"/>
      <c r="K92" s="201"/>
    </row>
    <row r="93" spans="1:11" ht="17.25">
      <c r="A93" s="207" t="s">
        <v>29</v>
      </c>
      <c r="B93" s="207" t="s">
        <v>65</v>
      </c>
      <c r="C93" s="211" t="s">
        <v>193</v>
      </c>
      <c r="D93" s="216">
        <v>2</v>
      </c>
      <c r="E93" s="209" t="s">
        <v>309</v>
      </c>
      <c r="F93" s="204">
        <f t="shared" si="1"/>
        <v>807</v>
      </c>
      <c r="G93" s="56">
        <v>1614</v>
      </c>
      <c r="H93" s="217">
        <v>1614</v>
      </c>
      <c r="J93" s="201"/>
      <c r="K93" s="201"/>
    </row>
    <row r="94" spans="1:11" ht="17.25">
      <c r="A94" s="207" t="s">
        <v>29</v>
      </c>
      <c r="B94" s="207" t="s">
        <v>10</v>
      </c>
      <c r="C94" s="211" t="s">
        <v>327</v>
      </c>
      <c r="D94" s="216">
        <v>2</v>
      </c>
      <c r="E94" s="209" t="s">
        <v>307</v>
      </c>
      <c r="F94" s="204">
        <f t="shared" si="1"/>
        <v>1050</v>
      </c>
      <c r="G94" s="56">
        <v>2100</v>
      </c>
      <c r="H94" s="217">
        <v>2100</v>
      </c>
      <c r="J94" s="201"/>
      <c r="K94" s="201"/>
    </row>
    <row r="95" spans="1:11" ht="17.25">
      <c r="A95" s="207" t="s">
        <v>159</v>
      </c>
      <c r="B95" s="207" t="s">
        <v>4</v>
      </c>
      <c r="C95" s="212" t="s">
        <v>142</v>
      </c>
      <c r="D95" s="216">
        <v>2</v>
      </c>
      <c r="E95" s="207" t="s">
        <v>309</v>
      </c>
      <c r="F95" s="204">
        <f t="shared" si="1"/>
        <v>850</v>
      </c>
      <c r="G95" s="56">
        <v>1700</v>
      </c>
      <c r="H95" s="217">
        <v>1700</v>
      </c>
      <c r="J95" s="201"/>
      <c r="K95" s="201"/>
    </row>
    <row r="96" spans="1:11" ht="17.25">
      <c r="A96" s="207" t="s">
        <v>148</v>
      </c>
      <c r="B96" s="207" t="s">
        <v>10</v>
      </c>
      <c r="C96" s="211" t="s">
        <v>17</v>
      </c>
      <c r="D96" s="216">
        <v>1</v>
      </c>
      <c r="E96" s="205" t="s">
        <v>309</v>
      </c>
      <c r="F96" s="204">
        <f t="shared" si="1"/>
        <v>850</v>
      </c>
      <c r="G96" s="56">
        <v>850</v>
      </c>
      <c r="H96" s="217">
        <v>850</v>
      </c>
      <c r="J96" s="201"/>
      <c r="K96" s="201"/>
    </row>
    <row r="97" spans="4:11" ht="15" customHeight="1" hidden="1">
      <c r="D97" s="222">
        <v>343.38</v>
      </c>
      <c r="E97" s="113">
        <v>0</v>
      </c>
      <c r="F97" s="113" t="e">
        <v>#DIV/0!</v>
      </c>
      <c r="G97" s="56">
        <v>240193.66999999998</v>
      </c>
      <c r="H97" s="217">
        <v>240193.66999999998</v>
      </c>
      <c r="J97" s="201"/>
      <c r="K97" s="201"/>
    </row>
    <row r="98" spans="4:11" ht="17.25" hidden="1">
      <c r="D98" s="222">
        <v>364.88</v>
      </c>
      <c r="E98" s="222">
        <v>0</v>
      </c>
      <c r="F98" s="222" t="e">
        <v>#DIV/0!</v>
      </c>
      <c r="G98" s="214">
        <v>270556.67</v>
      </c>
      <c r="H98" s="214">
        <v>270556.67</v>
      </c>
      <c r="J98" s="201"/>
      <c r="K98" s="201"/>
    </row>
    <row r="99" spans="4:11" ht="17.25" hidden="1">
      <c r="D99" s="222">
        <f>SUM(D6:D96)</f>
        <v>364.88</v>
      </c>
      <c r="E99" s="222">
        <f>SUM(E6:E96)</f>
        <v>0</v>
      </c>
      <c r="F99" s="222">
        <f>SUM(F6:F96)</f>
        <v>66895.18148856709</v>
      </c>
      <c r="G99" s="214">
        <f>SUM(G6:G96)</f>
        <v>270556.67</v>
      </c>
      <c r="H99" s="214">
        <f>SUM(H6:H96)</f>
        <v>270556.67</v>
      </c>
      <c r="J99" s="201"/>
      <c r="K99" s="201"/>
    </row>
    <row r="100" spans="8:11" ht="17.25" hidden="1">
      <c r="H100" s="214"/>
      <c r="J100" s="201"/>
      <c r="K100" s="201"/>
    </row>
    <row r="101" spans="10:11" ht="17.25" hidden="1">
      <c r="J101" s="201"/>
      <c r="K101" s="201"/>
    </row>
    <row r="102" spans="10:11" ht="17.25">
      <c r="J102" s="201"/>
      <c r="K102" s="201"/>
    </row>
    <row r="103" spans="10:11" ht="17.25">
      <c r="J103" s="201"/>
      <c r="K103" s="201"/>
    </row>
    <row r="104" spans="10:11" ht="17.25">
      <c r="J104" s="201"/>
      <c r="K104" s="201"/>
    </row>
  </sheetData>
  <sheetProtection/>
  <mergeCells count="7">
    <mergeCell ref="A1:F1"/>
    <mergeCell ref="A5:B5"/>
    <mergeCell ref="A4:B4"/>
    <mergeCell ref="F3:F4"/>
    <mergeCell ref="E3:E4"/>
    <mergeCell ref="D3:D4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zoomScalePageLayoutView="0" workbookViewId="0" topLeftCell="A27">
      <selection activeCell="P17" sqref="P17"/>
    </sheetView>
  </sheetViews>
  <sheetFormatPr defaultColWidth="9.140625" defaultRowHeight="15"/>
  <cols>
    <col min="1" max="1" width="36.00390625" style="59" customWidth="1"/>
    <col min="2" max="2" width="12.28125" style="59" customWidth="1"/>
    <col min="3" max="3" width="34.8515625" style="59" customWidth="1"/>
    <col min="4" max="6" width="18.7109375" style="59" customWidth="1"/>
    <col min="7" max="12" width="0" style="59" hidden="1" customWidth="1"/>
    <col min="13" max="16384" width="9.140625" style="59" customWidth="1"/>
  </cols>
  <sheetData>
    <row r="1" spans="1:6" ht="43.5" customHeight="1">
      <c r="A1" s="238" t="s">
        <v>252</v>
      </c>
      <c r="B1" s="238"/>
      <c r="C1" s="238"/>
      <c r="D1" s="238"/>
      <c r="E1" s="238"/>
      <c r="F1" s="238"/>
    </row>
    <row r="2" spans="1:6" ht="26.25" customHeight="1">
      <c r="A2" s="244" t="s">
        <v>304</v>
      </c>
      <c r="B2" s="245"/>
      <c r="C2" s="245"/>
      <c r="D2" s="245"/>
      <c r="E2" s="245"/>
      <c r="F2" s="246"/>
    </row>
    <row r="3" spans="1:14" ht="17.25">
      <c r="A3" s="239" t="s">
        <v>0</v>
      </c>
      <c r="B3" s="241"/>
      <c r="C3" s="240"/>
      <c r="D3" s="242" t="s">
        <v>94</v>
      </c>
      <c r="E3" s="242" t="s">
        <v>95</v>
      </c>
      <c r="F3" s="242" t="s">
        <v>1</v>
      </c>
      <c r="G3" s="76"/>
      <c r="H3" s="76"/>
      <c r="I3" s="76"/>
      <c r="J3" s="76"/>
      <c r="K3" s="76"/>
      <c r="L3" s="76"/>
      <c r="M3" s="76"/>
      <c r="N3" s="76"/>
    </row>
    <row r="4" spans="1:14" ht="36.75" customHeight="1">
      <c r="A4" s="239" t="s">
        <v>96</v>
      </c>
      <c r="B4" s="240"/>
      <c r="C4" s="18" t="s">
        <v>2</v>
      </c>
      <c r="D4" s="243"/>
      <c r="E4" s="243"/>
      <c r="F4" s="243"/>
      <c r="G4" s="76"/>
      <c r="H4" s="76"/>
      <c r="I4" s="76"/>
      <c r="J4" s="76"/>
      <c r="K4" s="76"/>
      <c r="L4" s="76"/>
      <c r="M4" s="76"/>
      <c r="N4" s="76"/>
    </row>
    <row r="5" spans="1:14" ht="17.25">
      <c r="A5" s="239">
        <v>1</v>
      </c>
      <c r="B5" s="240"/>
      <c r="C5" s="18">
        <v>2</v>
      </c>
      <c r="D5" s="18">
        <v>3</v>
      </c>
      <c r="E5" s="18">
        <v>4</v>
      </c>
      <c r="F5" s="18">
        <v>5</v>
      </c>
      <c r="G5" s="76"/>
      <c r="H5" s="76"/>
      <c r="I5" s="18">
        <v>3</v>
      </c>
      <c r="J5" s="18">
        <v>4</v>
      </c>
      <c r="K5" s="18">
        <v>5</v>
      </c>
      <c r="L5" s="77">
        <v>6</v>
      </c>
      <c r="M5" s="76"/>
      <c r="N5" s="76"/>
    </row>
    <row r="6" spans="1:12" ht="33">
      <c r="A6" s="4" t="s">
        <v>210</v>
      </c>
      <c r="B6" s="4" t="s">
        <v>211</v>
      </c>
      <c r="C6" s="15" t="s">
        <v>224</v>
      </c>
      <c r="D6" s="114">
        <f>I6</f>
        <v>1</v>
      </c>
      <c r="E6" s="4" t="s">
        <v>330</v>
      </c>
      <c r="F6" s="43">
        <f>H6/D6</f>
        <v>1800</v>
      </c>
      <c r="G6" s="59">
        <f aca="true" t="shared" si="0" ref="G6:G42">D6*F6</f>
        <v>1800</v>
      </c>
      <c r="H6" s="59">
        <f>L6</f>
        <v>1800</v>
      </c>
      <c r="I6" s="114">
        <v>1</v>
      </c>
      <c r="J6" s="4" t="s">
        <v>330</v>
      </c>
      <c r="K6" s="43">
        <f>L6/I6</f>
        <v>1800</v>
      </c>
      <c r="L6" s="52">
        <v>1800</v>
      </c>
    </row>
    <row r="7" spans="1:14" s="76" customFormat="1" ht="17.25" customHeight="1">
      <c r="A7" s="4" t="s">
        <v>210</v>
      </c>
      <c r="B7" s="4" t="s">
        <v>212</v>
      </c>
      <c r="C7" s="15" t="s">
        <v>225</v>
      </c>
      <c r="D7" s="114">
        <f aca="true" t="shared" si="1" ref="D7:D42">I7</f>
        <v>3</v>
      </c>
      <c r="E7" s="4" t="s">
        <v>318</v>
      </c>
      <c r="F7" s="43">
        <f aca="true" t="shared" si="2" ref="F7:F42">H7/D7</f>
        <v>1563</v>
      </c>
      <c r="G7" s="59">
        <f t="shared" si="0"/>
        <v>4689</v>
      </c>
      <c r="H7" s="59">
        <f aca="true" t="shared" si="3" ref="H7:H42">L7</f>
        <v>4689</v>
      </c>
      <c r="I7" s="114">
        <f>3</f>
        <v>3</v>
      </c>
      <c r="J7" s="4" t="s">
        <v>318</v>
      </c>
      <c r="K7" s="43">
        <f aca="true" t="shared" si="4" ref="K7:K43">L7/I7</f>
        <v>1563</v>
      </c>
      <c r="L7" s="52">
        <f>1619+1535+1535</f>
        <v>4689</v>
      </c>
      <c r="M7" s="59"/>
      <c r="N7" s="59"/>
    </row>
    <row r="8" spans="1:14" s="76" customFormat="1" ht="17.25" customHeight="1">
      <c r="A8" s="4" t="s">
        <v>210</v>
      </c>
      <c r="B8" s="4" t="s">
        <v>5</v>
      </c>
      <c r="C8" s="15" t="s">
        <v>226</v>
      </c>
      <c r="D8" s="114">
        <f t="shared" si="1"/>
        <v>1</v>
      </c>
      <c r="E8" s="4" t="s">
        <v>320</v>
      </c>
      <c r="F8" s="43">
        <f t="shared" si="2"/>
        <v>1325</v>
      </c>
      <c r="G8" s="59">
        <f t="shared" si="0"/>
        <v>1325</v>
      </c>
      <c r="H8" s="59">
        <f t="shared" si="3"/>
        <v>1325</v>
      </c>
      <c r="I8" s="114">
        <f>1</f>
        <v>1</v>
      </c>
      <c r="J8" s="4" t="s">
        <v>320</v>
      </c>
      <c r="K8" s="43">
        <f t="shared" si="4"/>
        <v>1325</v>
      </c>
      <c r="L8" s="52">
        <f>1325</f>
        <v>1325</v>
      </c>
      <c r="M8" s="59"/>
      <c r="N8" s="59"/>
    </row>
    <row r="9" spans="1:14" s="76" customFormat="1" ht="33">
      <c r="A9" s="4" t="s">
        <v>210</v>
      </c>
      <c r="B9" s="4" t="s">
        <v>5</v>
      </c>
      <c r="C9" s="15" t="s">
        <v>233</v>
      </c>
      <c r="D9" s="114">
        <f t="shared" si="1"/>
        <v>2</v>
      </c>
      <c r="E9" s="4" t="s">
        <v>320</v>
      </c>
      <c r="F9" s="43">
        <f t="shared" si="2"/>
        <v>1267</v>
      </c>
      <c r="G9" s="59">
        <f t="shared" si="0"/>
        <v>2534</v>
      </c>
      <c r="H9" s="59">
        <f t="shared" si="3"/>
        <v>2534</v>
      </c>
      <c r="I9" s="114">
        <f>1+1</f>
        <v>2</v>
      </c>
      <c r="J9" s="4" t="s">
        <v>320</v>
      </c>
      <c r="K9" s="43">
        <f t="shared" si="4"/>
        <v>1267</v>
      </c>
      <c r="L9" s="52">
        <f>1300+1234</f>
        <v>2534</v>
      </c>
      <c r="M9" s="59"/>
      <c r="N9" s="59"/>
    </row>
    <row r="10" spans="1:12" ht="33">
      <c r="A10" s="3" t="s">
        <v>70</v>
      </c>
      <c r="B10" s="4" t="s">
        <v>6</v>
      </c>
      <c r="C10" s="15" t="s">
        <v>238</v>
      </c>
      <c r="D10" s="114">
        <f t="shared" si="1"/>
        <v>1</v>
      </c>
      <c r="E10" s="4" t="s">
        <v>309</v>
      </c>
      <c r="F10" s="43">
        <f t="shared" si="2"/>
        <v>725</v>
      </c>
      <c r="G10" s="59">
        <f t="shared" si="0"/>
        <v>725</v>
      </c>
      <c r="H10" s="59">
        <f t="shared" si="3"/>
        <v>725</v>
      </c>
      <c r="I10" s="114">
        <f>1</f>
        <v>1</v>
      </c>
      <c r="J10" s="4" t="s">
        <v>309</v>
      </c>
      <c r="K10" s="43">
        <f t="shared" si="4"/>
        <v>725</v>
      </c>
      <c r="L10" s="52">
        <f>725</f>
        <v>725</v>
      </c>
    </row>
    <row r="11" spans="1:12" ht="33">
      <c r="A11" s="4" t="s">
        <v>31</v>
      </c>
      <c r="B11" s="4" t="s">
        <v>30</v>
      </c>
      <c r="C11" s="15" t="s">
        <v>52</v>
      </c>
      <c r="D11" s="114">
        <f t="shared" si="1"/>
        <v>1</v>
      </c>
      <c r="E11" s="4" t="s">
        <v>309</v>
      </c>
      <c r="F11" s="43">
        <f t="shared" si="2"/>
        <v>835</v>
      </c>
      <c r="G11" s="59">
        <f t="shared" si="0"/>
        <v>835</v>
      </c>
      <c r="H11" s="59">
        <f t="shared" si="3"/>
        <v>835</v>
      </c>
      <c r="I11" s="114">
        <v>1</v>
      </c>
      <c r="J11" s="4" t="s">
        <v>309</v>
      </c>
      <c r="K11" s="43">
        <f t="shared" si="4"/>
        <v>835</v>
      </c>
      <c r="L11" s="52">
        <f>835</f>
        <v>835</v>
      </c>
    </row>
    <row r="12" spans="1:12" ht="33">
      <c r="A12" s="4" t="s">
        <v>207</v>
      </c>
      <c r="B12" s="4" t="s">
        <v>64</v>
      </c>
      <c r="C12" s="15" t="s">
        <v>34</v>
      </c>
      <c r="D12" s="114">
        <f t="shared" si="1"/>
        <v>0</v>
      </c>
      <c r="E12" s="4" t="s">
        <v>307</v>
      </c>
      <c r="F12" s="43">
        <v>0</v>
      </c>
      <c r="G12" s="59">
        <f t="shared" si="0"/>
        <v>0</v>
      </c>
      <c r="H12" s="59">
        <f t="shared" si="3"/>
        <v>0</v>
      </c>
      <c r="I12" s="114"/>
      <c r="J12" s="4" t="s">
        <v>307</v>
      </c>
      <c r="K12" s="43" t="e">
        <f t="shared" si="4"/>
        <v>#DIV/0!</v>
      </c>
      <c r="L12" s="52"/>
    </row>
    <row r="13" spans="1:12" ht="33">
      <c r="A13" s="4" t="s">
        <v>162</v>
      </c>
      <c r="B13" s="4" t="s">
        <v>10</v>
      </c>
      <c r="C13" s="15" t="s">
        <v>174</v>
      </c>
      <c r="D13" s="114">
        <f t="shared" si="1"/>
        <v>1</v>
      </c>
      <c r="E13" s="4" t="s">
        <v>307</v>
      </c>
      <c r="F13" s="43">
        <f t="shared" si="2"/>
        <v>1036</v>
      </c>
      <c r="G13" s="59">
        <f t="shared" si="0"/>
        <v>1036</v>
      </c>
      <c r="H13" s="59">
        <f t="shared" si="3"/>
        <v>1036</v>
      </c>
      <c r="I13" s="114">
        <f>1</f>
        <v>1</v>
      </c>
      <c r="J13" s="4" t="s">
        <v>307</v>
      </c>
      <c r="K13" s="43">
        <f t="shared" si="4"/>
        <v>1036</v>
      </c>
      <c r="L13" s="52">
        <f>1036</f>
        <v>1036</v>
      </c>
    </row>
    <row r="14" spans="1:12" ht="33">
      <c r="A14" s="4" t="s">
        <v>3</v>
      </c>
      <c r="B14" s="4" t="s">
        <v>48</v>
      </c>
      <c r="C14" s="15" t="s">
        <v>54</v>
      </c>
      <c r="D14" s="114">
        <f t="shared" si="1"/>
        <v>1</v>
      </c>
      <c r="E14" s="4" t="s">
        <v>315</v>
      </c>
      <c r="F14" s="43">
        <f t="shared" si="2"/>
        <v>600</v>
      </c>
      <c r="G14" s="59">
        <f t="shared" si="0"/>
        <v>600</v>
      </c>
      <c r="H14" s="59">
        <f t="shared" si="3"/>
        <v>600</v>
      </c>
      <c r="I14" s="114">
        <v>1</v>
      </c>
      <c r="J14" s="4" t="s">
        <v>315</v>
      </c>
      <c r="K14" s="43">
        <f t="shared" si="4"/>
        <v>600</v>
      </c>
      <c r="L14" s="52">
        <f>600</f>
        <v>600</v>
      </c>
    </row>
    <row r="15" spans="1:12" ht="33">
      <c r="A15" s="4" t="s">
        <v>3</v>
      </c>
      <c r="B15" s="4" t="s">
        <v>4</v>
      </c>
      <c r="C15" s="15" t="s">
        <v>218</v>
      </c>
      <c r="D15" s="114">
        <f t="shared" si="1"/>
        <v>1</v>
      </c>
      <c r="E15" s="4" t="s">
        <v>314</v>
      </c>
      <c r="F15" s="43">
        <f t="shared" si="2"/>
        <v>610</v>
      </c>
      <c r="G15" s="59">
        <f t="shared" si="0"/>
        <v>610</v>
      </c>
      <c r="H15" s="59">
        <f t="shared" si="3"/>
        <v>610</v>
      </c>
      <c r="I15" s="50">
        <f>1</f>
        <v>1</v>
      </c>
      <c r="J15" s="4" t="s">
        <v>314</v>
      </c>
      <c r="K15" s="43">
        <f t="shared" si="4"/>
        <v>610</v>
      </c>
      <c r="L15" s="52">
        <f>610</f>
        <v>610</v>
      </c>
    </row>
    <row r="16" spans="1:12" ht="33">
      <c r="A16" s="3" t="s">
        <v>3</v>
      </c>
      <c r="B16" s="4" t="s">
        <v>6</v>
      </c>
      <c r="C16" s="6" t="s">
        <v>13</v>
      </c>
      <c r="D16" s="114">
        <f t="shared" si="1"/>
        <v>0</v>
      </c>
      <c r="E16" s="4" t="s">
        <v>313</v>
      </c>
      <c r="F16" s="43">
        <v>0</v>
      </c>
      <c r="G16" s="59">
        <f t="shared" si="0"/>
        <v>0</v>
      </c>
      <c r="H16" s="59">
        <f t="shared" si="3"/>
        <v>0</v>
      </c>
      <c r="I16" s="114"/>
      <c r="J16" s="4" t="s">
        <v>331</v>
      </c>
      <c r="K16" s="43" t="e">
        <f t="shared" si="4"/>
        <v>#DIV/0!</v>
      </c>
      <c r="L16" s="52"/>
    </row>
    <row r="17" spans="1:12" ht="33">
      <c r="A17" s="4" t="s">
        <v>3</v>
      </c>
      <c r="B17" s="4" t="s">
        <v>30</v>
      </c>
      <c r="C17" s="15" t="s">
        <v>223</v>
      </c>
      <c r="D17" s="114">
        <f t="shared" si="1"/>
        <v>1.5</v>
      </c>
      <c r="E17" s="4" t="s">
        <v>313</v>
      </c>
      <c r="F17" s="43">
        <f t="shared" si="2"/>
        <v>430</v>
      </c>
      <c r="G17" s="59">
        <f t="shared" si="0"/>
        <v>645</v>
      </c>
      <c r="H17" s="59">
        <f t="shared" si="3"/>
        <v>645</v>
      </c>
      <c r="I17" s="114">
        <f>1.5</f>
        <v>1.5</v>
      </c>
      <c r="J17" s="4" t="s">
        <v>313</v>
      </c>
      <c r="K17" s="43">
        <f t="shared" si="4"/>
        <v>430</v>
      </c>
      <c r="L17" s="52">
        <f>430+215</f>
        <v>645</v>
      </c>
    </row>
    <row r="18" spans="1:14" s="60" customFormat="1" ht="33">
      <c r="A18" s="4" t="s">
        <v>3</v>
      </c>
      <c r="B18" s="4" t="s">
        <v>30</v>
      </c>
      <c r="C18" s="15" t="s">
        <v>227</v>
      </c>
      <c r="D18" s="114">
        <f t="shared" si="1"/>
        <v>1</v>
      </c>
      <c r="E18" s="4" t="s">
        <v>316</v>
      </c>
      <c r="F18" s="43">
        <f t="shared" si="2"/>
        <v>485</v>
      </c>
      <c r="G18" s="59">
        <f t="shared" si="0"/>
        <v>485</v>
      </c>
      <c r="H18" s="59">
        <f t="shared" si="3"/>
        <v>485</v>
      </c>
      <c r="I18" s="114">
        <f>1</f>
        <v>1</v>
      </c>
      <c r="J18" s="4" t="s">
        <v>316</v>
      </c>
      <c r="K18" s="43">
        <f t="shared" si="4"/>
        <v>485</v>
      </c>
      <c r="L18" s="52">
        <f>485</f>
        <v>485</v>
      </c>
      <c r="M18" s="59"/>
      <c r="N18" s="59"/>
    </row>
    <row r="19" spans="1:12" ht="33">
      <c r="A19" s="3" t="s">
        <v>3</v>
      </c>
      <c r="B19" s="4" t="s">
        <v>5</v>
      </c>
      <c r="C19" s="6" t="s">
        <v>13</v>
      </c>
      <c r="D19" s="114">
        <f t="shared" si="1"/>
        <v>25</v>
      </c>
      <c r="E19" s="4" t="s">
        <v>313</v>
      </c>
      <c r="F19" s="43">
        <f t="shared" si="2"/>
        <v>430</v>
      </c>
      <c r="G19" s="59">
        <f t="shared" si="0"/>
        <v>10750</v>
      </c>
      <c r="H19" s="59">
        <f t="shared" si="3"/>
        <v>10750</v>
      </c>
      <c r="I19" s="163">
        <f>2.5+3.25+1.5+1.5+2+0.5+1+0.5+0.5+0.25+1+0.5+0.5+0.5+0.25+0.75+0.5+0.75+0.5+1.75+0.5+1+1+0.75+0.5+0.5+0.25</f>
        <v>25</v>
      </c>
      <c r="J19" s="4" t="s">
        <v>313</v>
      </c>
      <c r="K19" s="43">
        <f t="shared" si="4"/>
        <v>430</v>
      </c>
      <c r="L19" s="52">
        <f>215+430+430+1397.5+645+645+860+215+430+215+215+107.5+430+215+215+215+107.5+322.5+215+322.5+215+430+322.5+215+430+430+322.5+215+215+107.5</f>
        <v>10750</v>
      </c>
    </row>
    <row r="20" spans="1:12" ht="33">
      <c r="A20" s="3" t="s">
        <v>3</v>
      </c>
      <c r="B20" s="4" t="s">
        <v>5</v>
      </c>
      <c r="C20" s="15" t="s">
        <v>219</v>
      </c>
      <c r="D20" s="114">
        <f t="shared" si="1"/>
        <v>1.5</v>
      </c>
      <c r="E20" s="4" t="s">
        <v>313</v>
      </c>
      <c r="F20" s="43">
        <f t="shared" si="2"/>
        <v>430</v>
      </c>
      <c r="G20" s="59">
        <f t="shared" si="0"/>
        <v>645</v>
      </c>
      <c r="H20" s="59">
        <f t="shared" si="3"/>
        <v>645</v>
      </c>
      <c r="I20" s="114">
        <v>1.5</v>
      </c>
      <c r="J20" s="4" t="s">
        <v>313</v>
      </c>
      <c r="K20" s="43">
        <f t="shared" si="4"/>
        <v>430</v>
      </c>
      <c r="L20" s="52">
        <f>645</f>
        <v>645</v>
      </c>
    </row>
    <row r="21" spans="1:14" ht="16.5" customHeight="1">
      <c r="A21" s="4" t="s">
        <v>3</v>
      </c>
      <c r="B21" s="4" t="s">
        <v>5</v>
      </c>
      <c r="C21" s="15" t="s">
        <v>234</v>
      </c>
      <c r="D21" s="114">
        <f t="shared" si="1"/>
        <v>1.5</v>
      </c>
      <c r="E21" s="4" t="s">
        <v>313</v>
      </c>
      <c r="F21" s="43">
        <f t="shared" si="2"/>
        <v>430</v>
      </c>
      <c r="G21" s="113">
        <f t="shared" si="0"/>
        <v>645</v>
      </c>
      <c r="H21" s="59">
        <f t="shared" si="3"/>
        <v>645</v>
      </c>
      <c r="I21" s="115">
        <f>0.5+0.5+0.5</f>
        <v>1.5</v>
      </c>
      <c r="J21" s="4" t="s">
        <v>313</v>
      </c>
      <c r="K21" s="43">
        <f t="shared" si="4"/>
        <v>430</v>
      </c>
      <c r="L21" s="164">
        <f>215+215+215</f>
        <v>645</v>
      </c>
      <c r="M21" s="113"/>
      <c r="N21" s="113"/>
    </row>
    <row r="22" spans="1:12" ht="33">
      <c r="A22" s="4" t="s">
        <v>3</v>
      </c>
      <c r="B22" s="4" t="s">
        <v>5</v>
      </c>
      <c r="C22" s="15" t="s">
        <v>81</v>
      </c>
      <c r="D22" s="114">
        <f t="shared" si="1"/>
        <v>5.25</v>
      </c>
      <c r="E22" s="4" t="s">
        <v>313</v>
      </c>
      <c r="F22" s="43">
        <f t="shared" si="2"/>
        <v>430</v>
      </c>
      <c r="G22" s="59">
        <f t="shared" si="0"/>
        <v>2257.5</v>
      </c>
      <c r="H22" s="59">
        <f t="shared" si="3"/>
        <v>2257.5</v>
      </c>
      <c r="I22" s="114">
        <f>2+0.25+1+0.25+0.25+0.5+0.5+0.5</f>
        <v>5.25</v>
      </c>
      <c r="J22" s="4" t="s">
        <v>313</v>
      </c>
      <c r="K22" s="43">
        <f t="shared" si="4"/>
        <v>430</v>
      </c>
      <c r="L22" s="52">
        <f>2*430+107.5+430+107.5+107.5+215+215+215</f>
        <v>2257.5</v>
      </c>
    </row>
    <row r="23" spans="1:12" ht="33">
      <c r="A23" s="4" t="s">
        <v>161</v>
      </c>
      <c r="B23" s="4" t="s">
        <v>64</v>
      </c>
      <c r="C23" s="15" t="s">
        <v>51</v>
      </c>
      <c r="D23" s="114">
        <f t="shared" si="1"/>
        <v>1</v>
      </c>
      <c r="E23" s="4" t="s">
        <v>315</v>
      </c>
      <c r="F23" s="43">
        <f t="shared" si="2"/>
        <v>580</v>
      </c>
      <c r="G23" s="59">
        <f t="shared" si="0"/>
        <v>580</v>
      </c>
      <c r="H23" s="59">
        <f t="shared" si="3"/>
        <v>580</v>
      </c>
      <c r="I23" s="114">
        <f>1</f>
        <v>1</v>
      </c>
      <c r="J23" s="4" t="s">
        <v>315</v>
      </c>
      <c r="K23" s="43">
        <f t="shared" si="4"/>
        <v>580</v>
      </c>
      <c r="L23" s="52">
        <f>580</f>
        <v>580</v>
      </c>
    </row>
    <row r="24" spans="1:12" ht="33">
      <c r="A24" s="4" t="s">
        <v>205</v>
      </c>
      <c r="B24" s="4" t="s">
        <v>5</v>
      </c>
      <c r="C24" s="15" t="s">
        <v>220</v>
      </c>
      <c r="D24" s="114">
        <f t="shared" si="1"/>
        <v>0.5</v>
      </c>
      <c r="E24" s="4" t="s">
        <v>316</v>
      </c>
      <c r="F24" s="43">
        <f t="shared" si="2"/>
        <v>430</v>
      </c>
      <c r="G24" s="59">
        <f t="shared" si="0"/>
        <v>215</v>
      </c>
      <c r="H24" s="59">
        <f t="shared" si="3"/>
        <v>215</v>
      </c>
      <c r="I24" s="114">
        <f>0.5</f>
        <v>0.5</v>
      </c>
      <c r="J24" s="4" t="s">
        <v>316</v>
      </c>
      <c r="K24" s="43">
        <f t="shared" si="4"/>
        <v>430</v>
      </c>
      <c r="L24" s="52">
        <f>215</f>
        <v>215</v>
      </c>
    </row>
    <row r="25" spans="1:12" ht="33">
      <c r="A25" s="4" t="s">
        <v>213</v>
      </c>
      <c r="B25" s="4" t="s">
        <v>4</v>
      </c>
      <c r="C25" s="11" t="s">
        <v>228</v>
      </c>
      <c r="D25" s="114">
        <f t="shared" si="1"/>
        <v>19</v>
      </c>
      <c r="E25" s="4" t="s">
        <v>320</v>
      </c>
      <c r="F25" s="43">
        <f t="shared" si="2"/>
        <v>940.1052631578947</v>
      </c>
      <c r="G25" s="59">
        <f t="shared" si="0"/>
        <v>17862</v>
      </c>
      <c r="H25" s="59">
        <f t="shared" si="3"/>
        <v>17862</v>
      </c>
      <c r="I25" s="114">
        <f>1+1+1+1+1+1+1+1+1+1+1+1+1+1+1+1+1+1+1</f>
        <v>19</v>
      </c>
      <c r="J25" s="4" t="s">
        <v>320</v>
      </c>
      <c r="K25" s="43">
        <f t="shared" si="4"/>
        <v>940.1052631578947</v>
      </c>
      <c r="L25" s="52">
        <f>1035+1085+1085+1035+970+941+991+976+991+861+861+991+911+842+911+850+842+842+842</f>
        <v>17862</v>
      </c>
    </row>
    <row r="26" spans="1:12" ht="33">
      <c r="A26" s="4" t="s">
        <v>213</v>
      </c>
      <c r="B26" s="4" t="s">
        <v>4</v>
      </c>
      <c r="C26" s="11" t="s">
        <v>230</v>
      </c>
      <c r="D26" s="114">
        <f t="shared" si="1"/>
        <v>7.5</v>
      </c>
      <c r="E26" s="4" t="s">
        <v>320</v>
      </c>
      <c r="F26" s="43">
        <f t="shared" si="2"/>
        <v>1060</v>
      </c>
      <c r="G26" s="59">
        <f t="shared" si="0"/>
        <v>7950</v>
      </c>
      <c r="H26" s="59">
        <f t="shared" si="3"/>
        <v>7950</v>
      </c>
      <c r="I26" s="114">
        <f>7.5</f>
        <v>7.5</v>
      </c>
      <c r="J26" s="4" t="s">
        <v>320</v>
      </c>
      <c r="K26" s="43">
        <f t="shared" si="4"/>
        <v>1060</v>
      </c>
      <c r="L26" s="52">
        <f>7*1060+530</f>
        <v>7950</v>
      </c>
    </row>
    <row r="27" spans="1:12" ht="33">
      <c r="A27" s="4" t="s">
        <v>213</v>
      </c>
      <c r="B27" s="4" t="s">
        <v>4</v>
      </c>
      <c r="C27" s="15" t="s">
        <v>233</v>
      </c>
      <c r="D27" s="114">
        <f t="shared" si="1"/>
        <v>1</v>
      </c>
      <c r="E27" s="4" t="s">
        <v>320</v>
      </c>
      <c r="F27" s="43">
        <f t="shared" si="2"/>
        <v>1000</v>
      </c>
      <c r="G27" s="59">
        <f t="shared" si="0"/>
        <v>1000</v>
      </c>
      <c r="H27" s="59">
        <f t="shared" si="3"/>
        <v>1000</v>
      </c>
      <c r="I27" s="114">
        <f>1</f>
        <v>1</v>
      </c>
      <c r="J27" s="165" t="s">
        <v>320</v>
      </c>
      <c r="K27" s="43">
        <f t="shared" si="4"/>
        <v>1000</v>
      </c>
      <c r="L27" s="52">
        <f>1000</f>
        <v>1000</v>
      </c>
    </row>
    <row r="28" spans="1:12" ht="33">
      <c r="A28" s="4" t="s">
        <v>213</v>
      </c>
      <c r="B28" s="4" t="s">
        <v>10</v>
      </c>
      <c r="C28" s="11" t="s">
        <v>229</v>
      </c>
      <c r="D28" s="114">
        <f t="shared" si="1"/>
        <v>141</v>
      </c>
      <c r="E28" s="4" t="s">
        <v>307</v>
      </c>
      <c r="F28" s="43">
        <f t="shared" si="2"/>
        <v>717.0780141843971</v>
      </c>
      <c r="G28" s="59">
        <f t="shared" si="0"/>
        <v>101108</v>
      </c>
      <c r="H28" s="59">
        <f t="shared" si="3"/>
        <v>101108</v>
      </c>
      <c r="I28" s="166">
        <f>1+3+1+9+10+1+3+7+6+1+4+2+6+1+2+4+3+8+2+1+5+1+4+2+5+3+3+3+1+3.5+1+2+5+4+6+4+3+4+4+1.5+1</f>
        <v>141</v>
      </c>
      <c r="J28" s="167" t="s">
        <v>307</v>
      </c>
      <c r="K28" s="168">
        <f t="shared" si="4"/>
        <v>717.0780141843971</v>
      </c>
      <c r="L28" s="169">
        <f>759+963+807+807+987+9*927+10*874+854+3*813+7*759+6*705+700+4*800+2*715+6*677+657+2*715+4*677+3*657+8*657+2*657+660+5*657+657+4*657+2*657+5*657+3*657+3*657+3*657+657+3.5*657+673+2*657+5*657+4*657+6*657+4*657+3*657+4*677+4*657+1.5*657+677</f>
        <v>101108</v>
      </c>
    </row>
    <row r="29" spans="1:12" ht="33">
      <c r="A29" s="4" t="s">
        <v>213</v>
      </c>
      <c r="B29" s="4" t="s">
        <v>5</v>
      </c>
      <c r="C29" s="11" t="s">
        <v>240</v>
      </c>
      <c r="D29" s="114">
        <f t="shared" si="1"/>
        <v>11.5</v>
      </c>
      <c r="E29" s="2" t="s">
        <v>315</v>
      </c>
      <c r="F29" s="43">
        <f t="shared" si="2"/>
        <v>604.304347826087</v>
      </c>
      <c r="G29" s="59">
        <f t="shared" si="0"/>
        <v>6949.5</v>
      </c>
      <c r="H29" s="59">
        <f t="shared" si="3"/>
        <v>6949.5</v>
      </c>
      <c r="I29" s="114">
        <f>1+2+1+1+0.5+1+1+1+2+1</f>
        <v>11.5</v>
      </c>
      <c r="J29" s="170" t="s">
        <v>315</v>
      </c>
      <c r="K29" s="43">
        <f t="shared" si="4"/>
        <v>604.304347826087</v>
      </c>
      <c r="L29" s="52">
        <f>618+2*603+603+603+301.5+603+603+603+2*603+603</f>
        <v>6949.5</v>
      </c>
    </row>
    <row r="30" spans="1:12" ht="33">
      <c r="A30" s="4" t="s">
        <v>149</v>
      </c>
      <c r="B30" s="4" t="s">
        <v>4</v>
      </c>
      <c r="C30" s="15" t="s">
        <v>239</v>
      </c>
      <c r="D30" s="114">
        <f t="shared" si="1"/>
        <v>1</v>
      </c>
      <c r="E30" s="4" t="s">
        <v>307</v>
      </c>
      <c r="F30" s="43">
        <f t="shared" si="2"/>
        <v>1093</v>
      </c>
      <c r="G30" s="59">
        <f t="shared" si="0"/>
        <v>1093</v>
      </c>
      <c r="H30" s="59">
        <f t="shared" si="3"/>
        <v>1093</v>
      </c>
      <c r="I30" s="114">
        <v>1</v>
      </c>
      <c r="J30" s="4" t="s">
        <v>307</v>
      </c>
      <c r="K30" s="43">
        <f t="shared" si="4"/>
        <v>1093</v>
      </c>
      <c r="L30" s="52">
        <f>1093</f>
        <v>1093</v>
      </c>
    </row>
    <row r="31" spans="1:12" ht="33">
      <c r="A31" s="4" t="s">
        <v>50</v>
      </c>
      <c r="B31" s="4" t="s">
        <v>10</v>
      </c>
      <c r="C31" s="15" t="s">
        <v>141</v>
      </c>
      <c r="D31" s="114">
        <f t="shared" si="1"/>
        <v>1</v>
      </c>
      <c r="E31" s="4" t="s">
        <v>309</v>
      </c>
      <c r="F31" s="43">
        <f t="shared" si="2"/>
        <v>719</v>
      </c>
      <c r="G31" s="59">
        <f t="shared" si="0"/>
        <v>719</v>
      </c>
      <c r="H31" s="59">
        <f t="shared" si="3"/>
        <v>719</v>
      </c>
      <c r="I31" s="114">
        <v>1</v>
      </c>
      <c r="J31" s="4" t="s">
        <v>309</v>
      </c>
      <c r="K31" s="43">
        <f t="shared" si="4"/>
        <v>719</v>
      </c>
      <c r="L31" s="52">
        <f>719</f>
        <v>719</v>
      </c>
    </row>
    <row r="32" spans="1:12" ht="33">
      <c r="A32" s="4" t="s">
        <v>208</v>
      </c>
      <c r="B32" s="4" t="s">
        <v>5</v>
      </c>
      <c r="C32" s="15" t="s">
        <v>221</v>
      </c>
      <c r="D32" s="114">
        <f t="shared" si="1"/>
        <v>1</v>
      </c>
      <c r="E32" s="2" t="s">
        <v>309</v>
      </c>
      <c r="F32" s="43">
        <f t="shared" si="2"/>
        <v>850</v>
      </c>
      <c r="G32" s="59">
        <f t="shared" si="0"/>
        <v>850</v>
      </c>
      <c r="H32" s="59">
        <f t="shared" si="3"/>
        <v>850</v>
      </c>
      <c r="I32" s="114">
        <f>1</f>
        <v>1</v>
      </c>
      <c r="J32" s="2" t="s">
        <v>309</v>
      </c>
      <c r="K32" s="43">
        <f t="shared" si="4"/>
        <v>850</v>
      </c>
      <c r="L32" s="52">
        <f>850</f>
        <v>850</v>
      </c>
    </row>
    <row r="33" spans="1:12" ht="49.5">
      <c r="A33" s="4" t="s">
        <v>215</v>
      </c>
      <c r="B33" s="4" t="s">
        <v>6</v>
      </c>
      <c r="C33" s="15" t="s">
        <v>233</v>
      </c>
      <c r="D33" s="114">
        <f t="shared" si="1"/>
        <v>1</v>
      </c>
      <c r="E33" s="4" t="s">
        <v>320</v>
      </c>
      <c r="F33" s="43">
        <f t="shared" si="2"/>
        <v>1234</v>
      </c>
      <c r="G33" s="59">
        <f t="shared" si="0"/>
        <v>1234</v>
      </c>
      <c r="H33" s="59">
        <f t="shared" si="3"/>
        <v>1234</v>
      </c>
      <c r="I33" s="114">
        <v>1</v>
      </c>
      <c r="J33" s="4" t="s">
        <v>320</v>
      </c>
      <c r="K33" s="43">
        <f t="shared" si="4"/>
        <v>1234</v>
      </c>
      <c r="L33" s="52">
        <f>1234</f>
        <v>1234</v>
      </c>
    </row>
    <row r="34" spans="1:12" ht="33">
      <c r="A34" s="4" t="s">
        <v>217</v>
      </c>
      <c r="B34" s="4" t="s">
        <v>10</v>
      </c>
      <c r="C34" s="15" t="s">
        <v>236</v>
      </c>
      <c r="D34" s="114">
        <f t="shared" si="1"/>
        <v>0</v>
      </c>
      <c r="E34" s="4" t="s">
        <v>309</v>
      </c>
      <c r="F34" s="43">
        <v>0</v>
      </c>
      <c r="G34" s="59">
        <f t="shared" si="0"/>
        <v>0</v>
      </c>
      <c r="H34" s="59">
        <f t="shared" si="3"/>
        <v>0</v>
      </c>
      <c r="I34" s="114"/>
      <c r="J34" s="4" t="s">
        <v>309</v>
      </c>
      <c r="K34" s="43" t="e">
        <f>L34/I34</f>
        <v>#DIV/0!</v>
      </c>
      <c r="L34" s="52"/>
    </row>
    <row r="35" spans="1:14" ht="49.5">
      <c r="A35" s="4" t="s">
        <v>209</v>
      </c>
      <c r="B35" s="4" t="s">
        <v>30</v>
      </c>
      <c r="C35" s="15" t="s">
        <v>222</v>
      </c>
      <c r="D35" s="114">
        <f t="shared" si="1"/>
        <v>3</v>
      </c>
      <c r="E35" s="4" t="s">
        <v>307</v>
      </c>
      <c r="F35" s="43">
        <f t="shared" si="2"/>
        <v>925.6666666666666</v>
      </c>
      <c r="G35" s="59">
        <f t="shared" si="0"/>
        <v>2777</v>
      </c>
      <c r="H35" s="59">
        <f t="shared" si="3"/>
        <v>2777</v>
      </c>
      <c r="I35" s="114">
        <f>3</f>
        <v>3</v>
      </c>
      <c r="J35" s="4" t="s">
        <v>307</v>
      </c>
      <c r="K35" s="43">
        <f t="shared" si="4"/>
        <v>925.6666666666666</v>
      </c>
      <c r="L35" s="52">
        <f>1000+1000+777</f>
        <v>2777</v>
      </c>
      <c r="N35" s="60"/>
    </row>
    <row r="36" spans="1:12" ht="49.5">
      <c r="A36" s="4" t="s">
        <v>209</v>
      </c>
      <c r="B36" s="4" t="s">
        <v>30</v>
      </c>
      <c r="C36" s="15" t="s">
        <v>231</v>
      </c>
      <c r="D36" s="114">
        <f t="shared" si="1"/>
        <v>1</v>
      </c>
      <c r="E36" s="4" t="s">
        <v>309</v>
      </c>
      <c r="F36" s="43">
        <f t="shared" si="2"/>
        <v>777</v>
      </c>
      <c r="G36" s="59">
        <f t="shared" si="0"/>
        <v>777</v>
      </c>
      <c r="H36" s="59">
        <f t="shared" si="3"/>
        <v>777</v>
      </c>
      <c r="I36" s="114">
        <v>1</v>
      </c>
      <c r="J36" s="4">
        <f>777</f>
        <v>777</v>
      </c>
      <c r="K36" s="43">
        <f t="shared" si="4"/>
        <v>777</v>
      </c>
      <c r="L36" s="52">
        <f>777</f>
        <v>777</v>
      </c>
    </row>
    <row r="37" spans="1:12" ht="33">
      <c r="A37" s="4" t="s">
        <v>214</v>
      </c>
      <c r="B37" s="4" t="s">
        <v>164</v>
      </c>
      <c r="C37" s="15" t="s">
        <v>232</v>
      </c>
      <c r="D37" s="114">
        <f t="shared" si="1"/>
        <v>1</v>
      </c>
      <c r="E37" s="4" t="s">
        <v>307</v>
      </c>
      <c r="F37" s="43">
        <f t="shared" si="2"/>
        <v>1030</v>
      </c>
      <c r="G37" s="59">
        <f t="shared" si="0"/>
        <v>1030</v>
      </c>
      <c r="H37" s="59">
        <f t="shared" si="3"/>
        <v>1030</v>
      </c>
      <c r="I37" s="114">
        <f>1</f>
        <v>1</v>
      </c>
      <c r="J37" s="4" t="s">
        <v>307</v>
      </c>
      <c r="K37" s="43">
        <f t="shared" si="4"/>
        <v>1030</v>
      </c>
      <c r="L37" s="52">
        <f>1030</f>
        <v>1030</v>
      </c>
    </row>
    <row r="38" spans="1:12" ht="33">
      <c r="A38" s="4" t="s">
        <v>199</v>
      </c>
      <c r="B38" s="4" t="s">
        <v>10</v>
      </c>
      <c r="C38" s="11" t="s">
        <v>237</v>
      </c>
      <c r="D38" s="114">
        <f t="shared" si="1"/>
        <v>1</v>
      </c>
      <c r="E38" s="4" t="s">
        <v>307</v>
      </c>
      <c r="F38" s="43">
        <f t="shared" si="2"/>
        <v>1030</v>
      </c>
      <c r="G38" s="59">
        <f t="shared" si="0"/>
        <v>1030</v>
      </c>
      <c r="H38" s="59">
        <f t="shared" si="3"/>
        <v>1030</v>
      </c>
      <c r="I38" s="114">
        <v>1</v>
      </c>
      <c r="J38" s="4" t="s">
        <v>307</v>
      </c>
      <c r="K38" s="43">
        <f t="shared" si="4"/>
        <v>1030</v>
      </c>
      <c r="L38" s="52">
        <f>1030</f>
        <v>1030</v>
      </c>
    </row>
    <row r="39" spans="1:12" ht="33">
      <c r="A39" s="4" t="s">
        <v>66</v>
      </c>
      <c r="B39" s="4" t="s">
        <v>216</v>
      </c>
      <c r="C39" s="15" t="s">
        <v>235</v>
      </c>
      <c r="D39" s="114">
        <f t="shared" si="1"/>
        <v>1</v>
      </c>
      <c r="E39" s="4" t="s">
        <v>320</v>
      </c>
      <c r="F39" s="43">
        <f t="shared" si="2"/>
        <v>1121</v>
      </c>
      <c r="G39" s="59">
        <f t="shared" si="0"/>
        <v>1121</v>
      </c>
      <c r="H39" s="59">
        <f t="shared" si="3"/>
        <v>1121</v>
      </c>
      <c r="I39" s="114">
        <v>1</v>
      </c>
      <c r="J39" s="4" t="s">
        <v>320</v>
      </c>
      <c r="K39" s="43">
        <f t="shared" si="4"/>
        <v>1121</v>
      </c>
      <c r="L39" s="52">
        <v>1121</v>
      </c>
    </row>
    <row r="40" spans="1:14" s="113" customFormat="1" ht="33">
      <c r="A40" s="4" t="s">
        <v>114</v>
      </c>
      <c r="B40" s="4" t="s">
        <v>5</v>
      </c>
      <c r="C40" s="11" t="s">
        <v>128</v>
      </c>
      <c r="D40" s="114">
        <f t="shared" si="1"/>
        <v>1</v>
      </c>
      <c r="E40" s="4" t="s">
        <v>307</v>
      </c>
      <c r="F40" s="43">
        <f t="shared" si="2"/>
        <v>1028</v>
      </c>
      <c r="G40" s="59">
        <f t="shared" si="0"/>
        <v>1028</v>
      </c>
      <c r="H40" s="59">
        <f t="shared" si="3"/>
        <v>1028</v>
      </c>
      <c r="I40" s="114">
        <f>1</f>
        <v>1</v>
      </c>
      <c r="J40" s="4" t="s">
        <v>307</v>
      </c>
      <c r="K40" s="43">
        <f t="shared" si="4"/>
        <v>1028</v>
      </c>
      <c r="L40" s="52">
        <f>1028</f>
        <v>1028</v>
      </c>
      <c r="M40" s="59"/>
      <c r="N40" s="59"/>
    </row>
    <row r="41" spans="1:12" ht="33">
      <c r="A41" s="4" t="s">
        <v>29</v>
      </c>
      <c r="B41" s="4" t="s">
        <v>65</v>
      </c>
      <c r="C41" s="15" t="s">
        <v>72</v>
      </c>
      <c r="D41" s="114">
        <f t="shared" si="1"/>
        <v>0</v>
      </c>
      <c r="E41" s="4" t="s">
        <v>315</v>
      </c>
      <c r="F41" s="43">
        <v>0</v>
      </c>
      <c r="G41" s="59">
        <f t="shared" si="0"/>
        <v>0</v>
      </c>
      <c r="H41" s="59">
        <f t="shared" si="3"/>
        <v>0</v>
      </c>
      <c r="I41" s="114"/>
      <c r="J41" s="4" t="s">
        <v>315</v>
      </c>
      <c r="K41" s="43" t="e">
        <f t="shared" si="4"/>
        <v>#DIV/0!</v>
      </c>
      <c r="L41" s="52"/>
    </row>
    <row r="42" spans="1:14" ht="33">
      <c r="A42" s="4" t="s">
        <v>206</v>
      </c>
      <c r="B42" s="4" t="s">
        <v>10</v>
      </c>
      <c r="C42" s="15" t="s">
        <v>17</v>
      </c>
      <c r="D42" s="114">
        <f t="shared" si="1"/>
        <v>3</v>
      </c>
      <c r="E42" s="2" t="s">
        <v>309</v>
      </c>
      <c r="F42" s="43">
        <f t="shared" si="2"/>
        <v>683</v>
      </c>
      <c r="G42" s="59">
        <f t="shared" si="0"/>
        <v>2049</v>
      </c>
      <c r="H42" s="59">
        <f t="shared" si="3"/>
        <v>2049</v>
      </c>
      <c r="I42" s="116">
        <f>3</f>
        <v>3</v>
      </c>
      <c r="J42" s="2" t="s">
        <v>309</v>
      </c>
      <c r="K42" s="43">
        <f t="shared" si="4"/>
        <v>683</v>
      </c>
      <c r="L42" s="52">
        <f>2*695+659</f>
        <v>2049</v>
      </c>
      <c r="M42" s="60"/>
      <c r="N42" s="60"/>
    </row>
    <row r="43" spans="3:11" ht="16.5" customHeight="1" hidden="1">
      <c r="C43" s="112"/>
      <c r="K43" s="43" t="e">
        <f t="shared" si="4"/>
        <v>#DIV/0!</v>
      </c>
    </row>
    <row r="44" spans="4:12" ht="15" customHeight="1" hidden="1">
      <c r="D44" s="59">
        <f>SUM(D13:D42)</f>
        <v>235.25</v>
      </c>
      <c r="E44" s="59">
        <f>SUM(E13:E42)</f>
        <v>0</v>
      </c>
      <c r="F44" s="59">
        <f>SUM(F13:F42)</f>
        <v>20703.154291835046</v>
      </c>
      <c r="G44" s="59">
        <f>SUM(G13:G42)</f>
        <v>167046</v>
      </c>
      <c r="I44" s="59">
        <f>SUM(I6:I42)</f>
        <v>244.25</v>
      </c>
      <c r="K44" s="43"/>
      <c r="L44" s="59">
        <f>SUM(L6:L42)</f>
        <v>178954</v>
      </c>
    </row>
    <row r="45" spans="4:8" ht="16.5" hidden="1">
      <c r="D45" s="59">
        <f>SUM(D6:D42)</f>
        <v>244.25</v>
      </c>
      <c r="E45" s="59">
        <f>SUM(E6:E42)</f>
        <v>0</v>
      </c>
      <c r="F45" s="59">
        <f>SUM(F6:F42)</f>
        <v>28218.154291835046</v>
      </c>
      <c r="G45" s="59">
        <f>SUM(G6:G42)</f>
        <v>178954</v>
      </c>
      <c r="H45" s="59">
        <f>SUM(H6:H42)</f>
        <v>178954</v>
      </c>
    </row>
  </sheetData>
  <sheetProtection/>
  <mergeCells count="8">
    <mergeCell ref="A1:F1"/>
    <mergeCell ref="A2:F2"/>
    <mergeCell ref="A4:B4"/>
    <mergeCell ref="A5:B5"/>
    <mergeCell ref="D3:D4"/>
    <mergeCell ref="A3:C3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="90" zoomScaleNormal="90" zoomScalePageLayoutView="0" workbookViewId="0" topLeftCell="B1">
      <selection activeCell="Q26" sqref="Q26"/>
    </sheetView>
  </sheetViews>
  <sheetFormatPr defaultColWidth="9.140625" defaultRowHeight="15"/>
  <cols>
    <col min="1" max="1" width="8.00390625" style="0" hidden="1" customWidth="1"/>
    <col min="2" max="2" width="36.00390625" style="0" customWidth="1"/>
    <col min="3" max="3" width="12.28125" style="0" customWidth="1"/>
    <col min="4" max="4" width="34.8515625" style="0" customWidth="1"/>
    <col min="5" max="5" width="12.7109375" style="9" customWidth="1"/>
    <col min="6" max="6" width="18.7109375" style="0" customWidth="1"/>
    <col min="7" max="7" width="16.140625" style="0" customWidth="1"/>
    <col min="8" max="8" width="10.8515625" style="0" hidden="1" customWidth="1"/>
    <col min="9" max="16" width="0" style="0" hidden="1" customWidth="1"/>
  </cols>
  <sheetData>
    <row r="1" spans="1:7" s="30" customFormat="1" ht="49.5" customHeight="1">
      <c r="A1" s="256" t="s">
        <v>252</v>
      </c>
      <c r="B1" s="256"/>
      <c r="C1" s="256"/>
      <c r="D1" s="256"/>
      <c r="E1" s="256"/>
      <c r="F1" s="256"/>
      <c r="G1" s="256"/>
    </row>
    <row r="2" spans="2:7" s="56" customFormat="1" ht="34.5" customHeight="1">
      <c r="B2" s="257" t="s">
        <v>250</v>
      </c>
      <c r="C2" s="257"/>
      <c r="D2" s="257"/>
      <c r="E2" s="257"/>
      <c r="F2" s="257"/>
      <c r="G2" s="257"/>
    </row>
    <row r="3" spans="2:7" s="56" customFormat="1" ht="17.25" customHeight="1">
      <c r="B3" s="90"/>
      <c r="C3" s="90"/>
      <c r="D3" s="90"/>
      <c r="E3" s="118"/>
      <c r="F3" s="118"/>
      <c r="G3" s="118"/>
    </row>
    <row r="4" spans="1:8" s="57" customFormat="1" ht="17.25" customHeight="1">
      <c r="A4" s="239" t="s">
        <v>0</v>
      </c>
      <c r="B4" s="241"/>
      <c r="C4" s="241"/>
      <c r="D4" s="240"/>
      <c r="E4" s="46" t="s">
        <v>94</v>
      </c>
      <c r="F4" s="20" t="s">
        <v>95</v>
      </c>
      <c r="G4" s="20" t="s">
        <v>1</v>
      </c>
      <c r="H4" s="57" t="s">
        <v>251</v>
      </c>
    </row>
    <row r="5" spans="1:7" s="57" customFormat="1" ht="17.25" customHeight="1">
      <c r="A5" s="239" t="s">
        <v>96</v>
      </c>
      <c r="B5" s="241"/>
      <c r="C5" s="240"/>
      <c r="D5" s="18" t="s">
        <v>2</v>
      </c>
      <c r="E5" s="44"/>
      <c r="F5" s="21"/>
      <c r="G5" s="21"/>
    </row>
    <row r="6" spans="1:13" s="57" customFormat="1" ht="17.25">
      <c r="A6" s="239">
        <v>1</v>
      </c>
      <c r="B6" s="241"/>
      <c r="C6" s="240"/>
      <c r="D6" s="18">
        <v>2</v>
      </c>
      <c r="E6" s="18">
        <v>3</v>
      </c>
      <c r="F6" s="18">
        <v>4</v>
      </c>
      <c r="G6" s="18">
        <v>5</v>
      </c>
      <c r="J6" s="18">
        <v>3</v>
      </c>
      <c r="K6" s="18">
        <v>4</v>
      </c>
      <c r="L6" s="18">
        <v>5</v>
      </c>
      <c r="M6" s="171"/>
    </row>
    <row r="7" spans="1:13" s="56" customFormat="1" ht="33">
      <c r="A7" s="5">
        <v>13</v>
      </c>
      <c r="B7" s="5" t="s">
        <v>112</v>
      </c>
      <c r="C7" s="5" t="s">
        <v>30</v>
      </c>
      <c r="D7" s="16" t="s">
        <v>160</v>
      </c>
      <c r="E7" s="53">
        <f>J7</f>
        <v>1</v>
      </c>
      <c r="F7" s="4" t="s">
        <v>318</v>
      </c>
      <c r="G7" s="53">
        <f>I7/E7</f>
        <v>1461</v>
      </c>
      <c r="H7" s="56">
        <v>1440</v>
      </c>
      <c r="I7" s="56">
        <f>M7</f>
        <v>1461</v>
      </c>
      <c r="J7" s="53">
        <v>1</v>
      </c>
      <c r="K7" s="4" t="s">
        <v>318</v>
      </c>
      <c r="L7" s="53">
        <f>M7/J7</f>
        <v>1461</v>
      </c>
      <c r="M7" s="172">
        <f>1461</f>
        <v>1461</v>
      </c>
    </row>
    <row r="8" spans="1:13" s="56" customFormat="1" ht="33">
      <c r="A8" s="5">
        <v>11</v>
      </c>
      <c r="B8" s="5" t="s">
        <v>112</v>
      </c>
      <c r="C8" s="5" t="s">
        <v>5</v>
      </c>
      <c r="D8" s="16" t="s">
        <v>241</v>
      </c>
      <c r="E8" s="53">
        <f>J8</f>
        <v>2</v>
      </c>
      <c r="F8" s="5" t="s">
        <v>320</v>
      </c>
      <c r="G8" s="53">
        <f>I8/E8</f>
        <v>1210</v>
      </c>
      <c r="H8" s="56">
        <v>2378</v>
      </c>
      <c r="I8" s="56">
        <f>M8</f>
        <v>2420</v>
      </c>
      <c r="J8" s="53">
        <v>2</v>
      </c>
      <c r="K8" s="5" t="s">
        <v>320</v>
      </c>
      <c r="L8" s="53">
        <f>M8/J8</f>
        <v>1210</v>
      </c>
      <c r="M8" s="172">
        <f>2*1210</f>
        <v>2420</v>
      </c>
    </row>
    <row r="9" spans="1:13" s="58" customFormat="1" ht="33">
      <c r="A9" s="5">
        <v>8</v>
      </c>
      <c r="B9" s="5" t="s">
        <v>70</v>
      </c>
      <c r="C9" s="5" t="s">
        <v>6</v>
      </c>
      <c r="D9" s="7" t="s">
        <v>78</v>
      </c>
      <c r="E9" s="53">
        <f>J9</f>
        <v>1</v>
      </c>
      <c r="F9" s="5" t="s">
        <v>307</v>
      </c>
      <c r="G9" s="53">
        <f>I9/E9</f>
        <v>741</v>
      </c>
      <c r="H9" s="58">
        <v>720</v>
      </c>
      <c r="I9" s="56">
        <f>M9</f>
        <v>741</v>
      </c>
      <c r="J9" s="53">
        <v>1</v>
      </c>
      <c r="K9" s="5" t="s">
        <v>307</v>
      </c>
      <c r="L9" s="53">
        <f>M9/J9</f>
        <v>741</v>
      </c>
      <c r="M9" s="172">
        <f>741</f>
        <v>741</v>
      </c>
    </row>
    <row r="10" spans="1:13" s="56" customFormat="1" ht="33">
      <c r="A10" s="4">
        <v>1</v>
      </c>
      <c r="B10" s="3" t="s">
        <v>3</v>
      </c>
      <c r="C10" s="4" t="s">
        <v>5</v>
      </c>
      <c r="D10" s="16" t="s">
        <v>140</v>
      </c>
      <c r="E10" s="53">
        <f>J10</f>
        <v>0.75</v>
      </c>
      <c r="F10" s="4" t="s">
        <v>331</v>
      </c>
      <c r="G10" s="53">
        <f>I10/E10</f>
        <v>430</v>
      </c>
      <c r="H10" s="56">
        <v>285</v>
      </c>
      <c r="I10" s="56">
        <f>M10</f>
        <v>322.5</v>
      </c>
      <c r="J10" s="42">
        <v>0.75</v>
      </c>
      <c r="K10" s="4" t="s">
        <v>331</v>
      </c>
      <c r="L10" s="53">
        <f>M10/J10</f>
        <v>430</v>
      </c>
      <c r="M10" s="172">
        <f>322.5</f>
        <v>322.5</v>
      </c>
    </row>
    <row r="11" spans="1:13" s="56" customFormat="1" ht="33">
      <c r="A11" s="5">
        <v>8</v>
      </c>
      <c r="B11" s="5" t="s">
        <v>50</v>
      </c>
      <c r="C11" s="5" t="s">
        <v>4</v>
      </c>
      <c r="D11" s="7" t="s">
        <v>141</v>
      </c>
      <c r="E11" s="53">
        <f>J11</f>
        <v>1</v>
      </c>
      <c r="F11" s="5" t="s">
        <v>307</v>
      </c>
      <c r="G11" s="53">
        <f>I11/E11</f>
        <v>999</v>
      </c>
      <c r="H11" s="56">
        <v>978</v>
      </c>
      <c r="I11" s="56">
        <f>M11</f>
        <v>999</v>
      </c>
      <c r="J11" s="53">
        <v>1</v>
      </c>
      <c r="K11" s="5" t="s">
        <v>307</v>
      </c>
      <c r="L11" s="53">
        <f>M11/J11</f>
        <v>999</v>
      </c>
      <c r="M11" s="172">
        <v>999</v>
      </c>
    </row>
    <row r="12" spans="1:13" s="56" customFormat="1" ht="33">
      <c r="A12" s="5">
        <v>10</v>
      </c>
      <c r="B12" s="5" t="s">
        <v>67</v>
      </c>
      <c r="C12" s="5" t="s">
        <v>10</v>
      </c>
      <c r="D12" s="16" t="s">
        <v>52</v>
      </c>
      <c r="E12" s="53">
        <f>J12</f>
        <v>10</v>
      </c>
      <c r="F12" s="5" t="s">
        <v>307</v>
      </c>
      <c r="G12" s="53">
        <f>I12/E12</f>
        <v>999</v>
      </c>
      <c r="H12" s="56">
        <v>9780</v>
      </c>
      <c r="I12" s="56">
        <f>M12</f>
        <v>9990</v>
      </c>
      <c r="J12" s="53">
        <f>10</f>
        <v>10</v>
      </c>
      <c r="K12" s="5" t="s">
        <v>307</v>
      </c>
      <c r="L12" s="53">
        <f>M12/J12</f>
        <v>999</v>
      </c>
      <c r="M12" s="172">
        <f>10*999</f>
        <v>9990</v>
      </c>
    </row>
    <row r="13" spans="5:13" s="56" customFormat="1" ht="15" customHeight="1" hidden="1">
      <c r="E13" s="58">
        <f>SUM(E10:E12)</f>
        <v>11.75</v>
      </c>
      <c r="H13" s="56">
        <f>SUM(H10:H12)</f>
        <v>11043</v>
      </c>
      <c r="J13" s="58">
        <f>SUM(J10:J12)</f>
        <v>11.75</v>
      </c>
      <c r="M13" s="56">
        <f>SUM(M10:M12)</f>
        <v>11311.5</v>
      </c>
    </row>
    <row r="14" spans="5:13" s="56" customFormat="1" ht="17.25">
      <c r="E14" s="58"/>
      <c r="J14" s="58">
        <f>SUM(J7:J12)</f>
        <v>15.75</v>
      </c>
      <c r="M14" s="56">
        <f>SUM(M7:M12)</f>
        <v>15933.5</v>
      </c>
    </row>
  </sheetData>
  <sheetProtection/>
  <mergeCells count="5">
    <mergeCell ref="A5:C5"/>
    <mergeCell ref="A1:G1"/>
    <mergeCell ref="A6:C6"/>
    <mergeCell ref="A4:D4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Ose</dc:creator>
  <cp:keywords/>
  <dc:description/>
  <cp:lastModifiedBy>Indra Vilde</cp:lastModifiedBy>
  <dcterms:created xsi:type="dcterms:W3CDTF">2017-03-14T13:26:51Z</dcterms:created>
  <dcterms:modified xsi:type="dcterms:W3CDTF">2019-01-29T14:46:48Z</dcterms:modified>
  <cp:category/>
  <cp:version/>
  <cp:contentType/>
  <cp:contentStatus/>
</cp:coreProperties>
</file>